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ell_E6320\Desktop\"/>
    </mc:Choice>
  </mc:AlternateContent>
  <bookViews>
    <workbookView xWindow="0" yWindow="0" windowWidth="16392" windowHeight="5628" tabRatio="809" firstSheet="1" activeTab="2"/>
  </bookViews>
  <sheets>
    <sheet name="Step by Step Instructions" sheetId="8" r:id="rId1"/>
    <sheet name="Inventory" sheetId="7" r:id="rId2"/>
    <sheet name="Emergency Supplies" sheetId="6" r:id="rId3"/>
    <sheet name="Service Supplies" sheetId="4" r:id="rId4"/>
    <sheet name="Quick Manual Count" sheetId="12" r:id="rId5"/>
    <sheet name="References" sheetId="13"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31" i="7" l="1"/>
  <c r="G32" i="7"/>
  <c r="G33" i="7"/>
  <c r="G34" i="7"/>
  <c r="G35" i="7"/>
  <c r="G36" i="7"/>
  <c r="G37" i="7"/>
  <c r="G38" i="7"/>
  <c r="G39" i="7"/>
  <c r="G40" i="7"/>
  <c r="G41" i="7"/>
  <c r="G42" i="7"/>
  <c r="G43" i="7"/>
  <c r="G16" i="7"/>
  <c r="G17" i="7"/>
  <c r="G18" i="7"/>
  <c r="G19" i="7"/>
  <c r="G20" i="7"/>
  <c r="G10" i="4"/>
  <c r="E68" i="7"/>
  <c r="G14" i="4"/>
  <c r="G13" i="4"/>
  <c r="G12" i="4"/>
  <c r="G11" i="4"/>
  <c r="G9" i="4"/>
  <c r="G8" i="4"/>
  <c r="G7" i="4"/>
  <c r="F12" i="7"/>
  <c r="J6" i="6"/>
  <c r="E72" i="7"/>
  <c r="E71" i="7"/>
  <c r="E70" i="7"/>
  <c r="E69" i="7"/>
  <c r="E67" i="7"/>
  <c r="E66" i="7"/>
  <c r="F20" i="7"/>
  <c r="J7" i="6"/>
  <c r="D6" i="6"/>
  <c r="H6" i="6"/>
  <c r="G5" i="7"/>
  <c r="G6" i="7"/>
  <c r="G7" i="7"/>
  <c r="G8" i="7"/>
  <c r="G9" i="7"/>
  <c r="G10" i="7"/>
  <c r="G11" i="7"/>
  <c r="G12" i="7"/>
  <c r="I6" i="6"/>
  <c r="K6" i="6"/>
  <c r="L6" i="6"/>
  <c r="D7" i="6"/>
  <c r="H7" i="6"/>
  <c r="I7" i="6"/>
  <c r="K7" i="6"/>
  <c r="L7" i="6"/>
  <c r="D8" i="6"/>
  <c r="H8" i="6"/>
  <c r="G24" i="7"/>
  <c r="G25" i="7"/>
  <c r="G26" i="7"/>
  <c r="G27" i="7"/>
  <c r="I8" i="6"/>
  <c r="F27" i="7"/>
  <c r="J8" i="6"/>
  <c r="K8" i="6"/>
  <c r="L8" i="6"/>
  <c r="D9" i="6"/>
  <c r="H9" i="6"/>
  <c r="F43" i="7"/>
  <c r="J9" i="6"/>
  <c r="K9" i="6"/>
  <c r="D10" i="6"/>
  <c r="H10" i="6"/>
  <c r="G47" i="7"/>
  <c r="G46" i="7"/>
  <c r="G48" i="7"/>
  <c r="G49" i="7"/>
  <c r="I10" i="6"/>
  <c r="F49" i="7"/>
  <c r="J10" i="6"/>
  <c r="K10" i="6"/>
  <c r="L10" i="6"/>
  <c r="D12" i="6"/>
  <c r="H12" i="6"/>
  <c r="H13" i="6"/>
  <c r="H14" i="6"/>
  <c r="G52" i="7"/>
  <c r="G53" i="7"/>
  <c r="G54" i="7"/>
  <c r="I14" i="6"/>
  <c r="F54" i="7"/>
  <c r="J14" i="6"/>
  <c r="K14" i="6"/>
  <c r="L14" i="6"/>
  <c r="E7" i="4"/>
  <c r="F7" i="4"/>
  <c r="E12" i="4"/>
  <c r="F12" i="4"/>
  <c r="E13" i="4"/>
  <c r="F13" i="4"/>
  <c r="E8" i="4"/>
  <c r="F8" i="4"/>
  <c r="H8" i="4"/>
  <c r="F14" i="4"/>
  <c r="H14" i="4"/>
  <c r="H13" i="4"/>
  <c r="H12" i="4"/>
  <c r="E11" i="4"/>
  <c r="F11" i="4"/>
  <c r="H11" i="4"/>
  <c r="E10" i="4"/>
  <c r="F10" i="4"/>
  <c r="H10" i="4"/>
  <c r="E9" i="4"/>
  <c r="F9" i="4"/>
  <c r="H9" i="4"/>
  <c r="H7" i="4"/>
  <c r="E20" i="12"/>
  <c r="E21" i="12"/>
  <c r="E23" i="12"/>
  <c r="E18" i="12"/>
  <c r="E17" i="12"/>
  <c r="E15" i="12"/>
  <c r="E14" i="12"/>
  <c r="E12" i="12"/>
  <c r="E11" i="12"/>
  <c r="E24" i="12"/>
  <c r="I9" i="6"/>
  <c r="L9" i="6"/>
</calcChain>
</file>

<file path=xl/sharedStrings.xml><?xml version="1.0" encoding="utf-8"?>
<sst xmlns="http://schemas.openxmlformats.org/spreadsheetml/2006/main" count="315" uniqueCount="212">
  <si>
    <t>Fruit   2 servings</t>
  </si>
  <si>
    <t>Vegetables  2 servings</t>
  </si>
  <si>
    <t>Unit of Measure</t>
  </si>
  <si>
    <t>Gallon</t>
  </si>
  <si>
    <t>Fruit</t>
  </si>
  <si>
    <t>6/#10 cans</t>
  </si>
  <si>
    <t>Total</t>
  </si>
  <si>
    <t>Vegetables</t>
  </si>
  <si>
    <t xml:space="preserve">Total </t>
  </si>
  <si>
    <t>Protein</t>
  </si>
  <si>
    <t>Baked Beans</t>
  </si>
  <si>
    <t>Chili</t>
  </si>
  <si>
    <t>Tuna</t>
  </si>
  <si>
    <t>Cereal</t>
  </si>
  <si>
    <t>Bread</t>
  </si>
  <si>
    <t>Crackers, Oyster</t>
  </si>
  <si>
    <t>Crackers, Saltines</t>
  </si>
  <si>
    <t>Crackers, Graham</t>
  </si>
  <si>
    <t>Milk, evaporated</t>
  </si>
  <si>
    <t>Oatmeal</t>
  </si>
  <si>
    <t>Plates</t>
  </si>
  <si>
    <t>Bowls</t>
  </si>
  <si>
    <t>Beef Stew</t>
  </si>
  <si>
    <t>Cracker, Goldfish</t>
  </si>
  <si>
    <t>Peanut Butter</t>
  </si>
  <si>
    <t>Chicken</t>
  </si>
  <si>
    <t>Pretzel</t>
  </si>
  <si>
    <t>Foam Cups</t>
  </si>
  <si>
    <t>Milk, dry powdered</t>
  </si>
  <si>
    <t>Fruit Juice bottles</t>
  </si>
  <si>
    <t>Fruit Juice individual</t>
  </si>
  <si>
    <t>Snack Bars, fruit</t>
  </si>
  <si>
    <t>Item Number</t>
  </si>
  <si>
    <t>Grains</t>
  </si>
  <si>
    <t>Check the food label: must have 13 gm protein per serving.</t>
  </si>
  <si>
    <t># Gallons</t>
  </si>
  <si>
    <t>Protein servings</t>
  </si>
  <si>
    <t>Grains 4 servings</t>
  </si>
  <si>
    <t>Suggested Food Items</t>
  </si>
  <si>
    <t>Canned Fruit, variety</t>
  </si>
  <si>
    <t>Canned Vegetables, variety</t>
  </si>
  <si>
    <t>each</t>
  </si>
  <si>
    <t>Item</t>
  </si>
  <si>
    <t xml:space="preserve">Dairy </t>
  </si>
  <si>
    <t>Corned Beef Hash</t>
  </si>
  <si>
    <t>Tortilla</t>
  </si>
  <si>
    <t>Utensil kit</t>
  </si>
  <si>
    <t>Disposable pans, full size</t>
  </si>
  <si>
    <t>Disposable pans, 1/2 size</t>
  </si>
  <si>
    <t>Canned cooking fuel</t>
  </si>
  <si>
    <t>Fruit Juice, bag in box</t>
  </si>
  <si>
    <t>Serving Size</t>
  </si>
  <si>
    <t>6 #10 cans</t>
  </si>
  <si>
    <t>1/2 cup</t>
  </si>
  <si>
    <t>3 gallon</t>
  </si>
  <si>
    <t>Vegetable Juice bottles</t>
  </si>
  <si>
    <t>Vegetable Juice, individual</t>
  </si>
  <si>
    <t>1 slice</t>
  </si>
  <si>
    <t>1 each</t>
  </si>
  <si>
    <t>Cookies, asst</t>
  </si>
  <si>
    <t>Crackers, asst</t>
  </si>
  <si>
    <t>3 pk</t>
  </si>
  <si>
    <t>1 each 6"</t>
  </si>
  <si>
    <t>1/3 cup</t>
  </si>
  <si>
    <t>Potable Water</t>
  </si>
  <si>
    <t>1 gallon</t>
  </si>
  <si>
    <t>Water (in jugs)</t>
  </si>
  <si>
    <t>Water (in tanks)</t>
  </si>
  <si>
    <t>Daily Allotment</t>
  </si>
  <si>
    <t>Milk, whl UHT shelf stable</t>
  </si>
  <si>
    <t>Potable Water/pp/day</t>
  </si>
  <si>
    <t>Potable Water for reconstituting milk and juice</t>
  </si>
  <si>
    <t>Gallons</t>
  </si>
  <si>
    <t>Total Water needed</t>
  </si>
  <si>
    <t>Suggested Service Supplies</t>
  </si>
  <si>
    <t xml:space="preserve"> </t>
  </si>
  <si>
    <t>1. Bag in Box juice</t>
  </si>
  <si>
    <t>One gallon of concentrated juice mixed with 4 gallons water = 5 gallons juice</t>
  </si>
  <si>
    <t xml:space="preserve">For communities with residents who require pureed food, consider stocking pureed protein, instant mashed potatoes, pureed vegetables and </t>
  </si>
  <si>
    <t>pureed bread product to meet need for altered consistency.</t>
  </si>
  <si>
    <t>2. Evaporated milk</t>
  </si>
  <si>
    <t>4oz evaporated milk + 4oz water = 8oz fluid milk</t>
  </si>
  <si>
    <t>For each 3 gallon Bag in Box concentrated juice,  mix with 12 gallons water = 15 gallons juice</t>
  </si>
  <si>
    <t>For each case, (24 X 12oz) = 2.25 gallons of water</t>
  </si>
  <si>
    <t>3. Dry powdered milk</t>
  </si>
  <si>
    <t>5 lb dry powdered milk + 800 oz (6.25 gallons) water = 800 oz (100 servings) fluid milk</t>
  </si>
  <si>
    <t>For each case, (6X 5lb) dry powdered milk + 37.5 gallons water = 600 servings</t>
  </si>
  <si>
    <t>INSTRUCTIONS</t>
  </si>
  <si>
    <t>Steps</t>
  </si>
  <si>
    <t>4 Tbsp</t>
  </si>
  <si>
    <t>If Total Servings on hand does not meet Total Suggested Servings, # cases needed will calculate based on these example:</t>
  </si>
  <si>
    <t>Water - cases of gallon water, 6 gallons per case</t>
  </si>
  <si>
    <t>https://www.cms.gov/Medicare/Provider-Enrollment-and-Certification/SurveyCertificationGenInfo/Downloads/Survey-and-Cert-Letter-14-09.pdf</t>
  </si>
  <si>
    <t>CMS letter (S&amp;C 14-09) Jan 3 2014 Emergency Preparedness</t>
  </si>
  <si>
    <t>Florida Administrative Code, Minimum Standards for Nursing Homes, Dietary Service 59A-4.110</t>
  </si>
  <si>
    <t>https://www.flrules.org/gateway/ruleno.asp?id=59A-4.110</t>
  </si>
  <si>
    <t>Grains - cases of bread, 10 loaves per case</t>
  </si>
  <si>
    <t>For communities with residents who require thickened liquids, consider stocking thickened liquid products needed.</t>
  </si>
  <si>
    <t>https://ahca.myflorida.com/MCHQ/Field_Ops/Protocols/Nursing_Homes/Files/emergwater-7dayfoodmemo1.pdf</t>
  </si>
  <si>
    <t>ACHA memorandum March 7, 2003 Nursing home emergency water issues and one week non-perishable food supply determination</t>
  </si>
  <si>
    <t>Emergency Water Supply Planning Guide for Hospitals and Health Care Facilities</t>
  </si>
  <si>
    <t>http://www.cdc.gov/healthywater/pdf/emergency/emergency-water-supply-planning-guide.pdf</t>
  </si>
  <si>
    <t>https://www.flrules.org/gateway/RuleNo.asp?title=ASSISTED%20LIVING%20FACILITIES&amp;ID=58A-5.020</t>
  </si>
  <si>
    <t>Florida Administrative Code, Assisted Living Facilities, Food Service Standards 58A-5</t>
  </si>
  <si>
    <t>This spreadsheet calculates emergency food and water supply needed for a nursing home.</t>
  </si>
  <si>
    <t>Quick Manual Count method</t>
  </si>
  <si>
    <t>12 servings per #10 can</t>
  </si>
  <si>
    <t>census X 1.17</t>
  </si>
  <si>
    <t>census X 0.21</t>
  </si>
  <si>
    <t>Milk</t>
  </si>
  <si>
    <t>25 servings per #10 can</t>
  </si>
  <si>
    <t>census X 0.56</t>
  </si>
  <si>
    <t>26 servings per #10 can</t>
  </si>
  <si>
    <t>22 servings per loaf</t>
  </si>
  <si>
    <t>census X 0.14</t>
  </si>
  <si>
    <t>census X 7</t>
  </si>
  <si>
    <t xml:space="preserve">The information found on this spreadsheet is intended to be used as a tool to facilitate planning of emergency food, water and supplies. 
No liability is assumed for the accuracy of the data described herein, either expressed or implied by Balanced Senior Nutrition.  </t>
  </si>
  <si>
    <t xml:space="preserve">Suggested service supplies for 7 days, 3 meals per day </t>
  </si>
  <si>
    <t>1) Enter the current census.</t>
  </si>
  <si>
    <t xml:space="preserve">3) This will equal the number of cans/packages/gallons needed to provide the suggested servings for 7 days for a nursing home. </t>
  </si>
  <si>
    <t>Food groups</t>
  </si>
  <si>
    <t>Servings per container</t>
  </si>
  <si>
    <t>Servings per day X 7 days</t>
  </si>
  <si>
    <t>Multiplier</t>
  </si>
  <si>
    <t>Protein - combination: beef stew, chili, corned beef hash</t>
  </si>
  <si>
    <t>Protein - solid meat: tuna</t>
  </si>
  <si>
    <t>33 servings per pouch</t>
  </si>
  <si>
    <t>individual cereal bowls</t>
  </si>
  <si>
    <t>census X .95</t>
  </si>
  <si>
    <t>Potable water to reconstitute milk</t>
  </si>
  <si>
    <t>Potable Water for drinking</t>
  </si>
  <si>
    <t>1 gallon jug</t>
  </si>
  <si>
    <t>Total Potable Water needed</t>
  </si>
  <si>
    <t>Water needed to reconstitute concentrated juice and milk products</t>
  </si>
  <si>
    <t>1/3 cup dry powdered milk + 8oz water = 8oz fluid milk</t>
  </si>
  <si>
    <t xml:space="preserve">These links provided for additional reading and information. </t>
  </si>
  <si>
    <t>Review federal, state and local requirements, following whichever is more stringent.</t>
  </si>
  <si>
    <t xml:space="preserve"> Check with Engineering/maintenance to determine gallons of water available in water tanks that can be counted toward potable water.</t>
  </si>
  <si>
    <t>Inventory of Food and Water on hand</t>
  </si>
  <si>
    <t>It is preferred that the Inventory worksheet be tallied to show the exact variety and quantity of non-perishable food in stock.</t>
  </si>
  <si>
    <r>
      <t xml:space="preserve">The </t>
    </r>
    <r>
      <rPr>
        <b/>
        <sz val="12"/>
        <color rgb="FF222222"/>
        <rFont val="Calibri"/>
        <family val="2"/>
        <scheme val="minor"/>
      </rPr>
      <t>References</t>
    </r>
    <r>
      <rPr>
        <sz val="12"/>
        <color rgb="FF222222"/>
        <rFont val="Calibri"/>
        <family val="2"/>
        <scheme val="minor"/>
      </rPr>
      <t xml:space="preserve"> worksheet provides information about water needed to reconstitute juice and milk, as well as links to reference information.</t>
    </r>
  </si>
  <si>
    <r>
      <t xml:space="preserve">In the event of an emergency, the </t>
    </r>
    <r>
      <rPr>
        <sz val="12"/>
        <color rgb="FF222222"/>
        <rFont val="Calibri"/>
        <family val="2"/>
        <scheme val="minor"/>
      </rPr>
      <t>administrator is responsible for ensuring the community meets federal, state and local requirements, whichever is more stringent, and for coordinating with local disaster preparedness authorities to ensure the safety of residents and staff</t>
    </r>
    <r>
      <rPr>
        <sz val="12"/>
        <color theme="1"/>
        <rFont val="Calibri"/>
        <family val="2"/>
        <scheme val="minor"/>
      </rPr>
      <t>. 
This form will help dining services to plan for food, water and service supplies.</t>
    </r>
    <r>
      <rPr>
        <b/>
        <sz val="12"/>
        <color theme="1"/>
        <rFont val="Calibri"/>
        <family val="2"/>
        <scheme val="minor"/>
      </rPr>
      <t xml:space="preserve"> </t>
    </r>
  </si>
  <si>
    <t>Trash bags, 60 gallon</t>
  </si>
  <si>
    <t>References</t>
  </si>
  <si>
    <t>Use this information to reconstitute juice and milk, as well as links to reference information.</t>
  </si>
  <si>
    <t>Disposable items that may be needed in an emergency situation.  This gives a snapshot of what should be ordered.</t>
  </si>
  <si>
    <t>WHAT WE ARE GOING 
TO ACCOMPLISH</t>
  </si>
  <si>
    <t>Emergency Food &amp; Water Supplies</t>
  </si>
  <si>
    <t>Fill in highlighted area.</t>
  </si>
  <si>
    <t xml:space="preserve">Fill in highlighted areas. 
</t>
  </si>
  <si>
    <t>Fill in highlighted areas.</t>
  </si>
  <si>
    <t>For assisted living communities, the number of days may need to be adjusted according to state requirements.</t>
  </si>
  <si>
    <t>Number of Days</t>
  </si>
  <si>
    <t xml:space="preserve">Servings     Per Day </t>
  </si>
  <si>
    <t xml:space="preserve">  Census X Servings per day X Number of days = Total Suggested Servings</t>
  </si>
  <si>
    <t>Assisted living communities, the number of days should be adjusted as needed, see References for additional information.</t>
  </si>
  <si>
    <r>
      <rPr>
        <b/>
        <sz val="11"/>
        <color theme="1"/>
        <rFont val="Calibri"/>
        <family val="2"/>
        <scheme val="minor"/>
      </rPr>
      <t xml:space="preserve">Notes: </t>
    </r>
    <r>
      <rPr>
        <sz val="11"/>
        <color theme="1"/>
        <rFont val="Calibri"/>
        <family val="2"/>
        <scheme val="minor"/>
      </rPr>
      <t xml:space="preserve">
Emergency food items do not have to be stored separately.
This sheet does NOT include enteral (tube feeding) formulas or enteral supplies.
Check dates on items for stock rotation.</t>
    </r>
  </si>
  <si>
    <t>2) This number is multiplied by the multiplier shown for each food group.</t>
  </si>
  <si>
    <t>To monitor and ensure adequate food and water emergency supplies are stored at the facility, it is recommended that a written, dated record of the emergency inventory be kept on file.</t>
  </si>
  <si>
    <t>Protein, variety - cases 6/#10 beef stew, corned beef hash, chili</t>
  </si>
  <si>
    <t>Fruit, variety - cases 6/#10 cans of fruit</t>
  </si>
  <si>
    <t>Vegetables, variety - cases 6/ #10 cans of vegetables</t>
  </si>
  <si>
    <t>Current Census</t>
  </si>
  <si>
    <t>Current Census for the Community</t>
  </si>
  <si>
    <r>
      <t xml:space="preserve">Click on </t>
    </r>
    <r>
      <rPr>
        <b/>
        <sz val="12"/>
        <color rgb="FF222222"/>
        <rFont val="Calibri"/>
        <family val="2"/>
        <scheme val="minor"/>
      </rPr>
      <t>Quick Manual Count</t>
    </r>
    <r>
      <rPr>
        <sz val="12"/>
        <color rgb="FF222222"/>
        <rFont val="Calibri"/>
        <family val="2"/>
        <scheme val="minor"/>
      </rPr>
      <t xml:space="preserve"> tab for a quick count (not detailed) of shelf stable foods that will meet the minimum requirements. Simply enter the </t>
    </r>
    <r>
      <rPr>
        <b/>
        <sz val="12"/>
        <color rgb="FF222222"/>
        <rFont val="Calibri"/>
        <family val="2"/>
        <scheme val="minor"/>
      </rPr>
      <t xml:space="preserve">Current Census for the Community </t>
    </r>
    <r>
      <rPr>
        <sz val="12"/>
        <color rgb="FF222222"/>
        <rFont val="Calibri"/>
        <family val="2"/>
        <scheme val="minor"/>
      </rPr>
      <t xml:space="preserve">to get the number of servings you need for seven days. </t>
    </r>
    <r>
      <rPr>
        <i/>
        <sz val="12"/>
        <color rgb="FF222222"/>
        <rFont val="Calibri"/>
        <family val="2"/>
        <scheme val="minor"/>
      </rPr>
      <t>For assisted living communities, the number of days may need to be adjusted according to state requirements.</t>
    </r>
    <r>
      <rPr>
        <sz val="12"/>
        <color rgb="FF222222"/>
        <rFont val="Calibri"/>
        <family val="2"/>
        <scheme val="minor"/>
      </rPr>
      <t xml:space="preserve"> NOTE: Whenever possible, use the Inventory worksheet to calculate the exact variety and quantity of non-perishable food in stock.</t>
    </r>
  </si>
  <si>
    <t>Compare the actual food and water on hand with the suggested supplies needed. This gives a snapshot of what should be ordered.</t>
  </si>
  <si>
    <t>1 each or 1 oz.</t>
  </si>
  <si>
    <t>Dairy (8 oz.) 2 servings</t>
  </si>
  <si>
    <t>8 oz.</t>
  </si>
  <si>
    <t>2 oz.</t>
  </si>
  <si>
    <t>6/48 oz.</t>
  </si>
  <si>
    <t>6/66.5 oz.</t>
  </si>
  <si>
    <t>4 oz.</t>
  </si>
  <si>
    <t>8/60 oz.</t>
  </si>
  <si>
    <t>6 oz.</t>
  </si>
  <si>
    <t>5.5 oz.</t>
  </si>
  <si>
    <t>.5 oz. pkt</t>
  </si>
  <si>
    <t>1 oz.</t>
  </si>
  <si>
    <t>.75 oz. pkt</t>
  </si>
  <si>
    <t>.2 oz. pkt</t>
  </si>
  <si>
    <t>1.9 oz. pkt</t>
  </si>
  <si>
    <t>1.3 oz. pkt</t>
  </si>
  <si>
    <t>4 oz. of evaporated milk = 8 oz. reconstituted milk
5 lb powdered milk - 100  8oz. servings
Note - canned pudding is not included because protein and calcium content is not sufficient to count as a Dairy serving.</t>
  </si>
  <si>
    <t>100 servings per 5 lb. bag</t>
  </si>
  <si>
    <t>6.25 gallons of water 
per 5 lb. bag</t>
  </si>
  <si>
    <t>6/5 lb.</t>
  </si>
  <si>
    <t># Servings on Hand</t>
  </si>
  <si>
    <t xml:space="preserve"># Cases on Hand (from Inventory) </t>
  </si>
  <si>
    <t># Cases We Need on Hand</t>
  </si>
  <si>
    <t># Suggested Servings</t>
  </si>
  <si>
    <t># Cases We Need to Order</t>
  </si>
  <si>
    <t># Units per Case</t>
  </si>
  <si>
    <t># Servings per Unit</t>
  </si>
  <si>
    <t># of Cases on Hand</t>
  </si>
  <si>
    <t>Servings Provided</t>
  </si>
  <si>
    <t># Cases/Tanks 
on Hand</t>
  </si>
  <si>
    <t># Cases 
on Hand</t>
  </si>
  <si>
    <t>Amount Needed</t>
  </si>
  <si>
    <t># / Case</t>
  </si>
  <si>
    <t xml:space="preserve"># Cases We Need on Hand </t>
  </si>
  <si>
    <t># cases/ units needed</t>
  </si>
  <si>
    <t>However, for a quick estimated count of shelf stable foods that will meet the minimum requirements:</t>
  </si>
  <si>
    <t>N/A</t>
  </si>
  <si>
    <t xml:space="preserve">From the printed Inventory spreadsheet, enter the amounts of Suggested Supplies onto the Electronic Inventory spreadsheet. </t>
  </si>
  <si>
    <t>If you have any questions, contact us at www.seniornutrition.net.</t>
  </si>
  <si>
    <r>
      <t>Click on</t>
    </r>
    <r>
      <rPr>
        <b/>
        <sz val="12"/>
        <color rgb="FF222222"/>
        <rFont val="Calibri"/>
        <family val="2"/>
        <scheme val="minor"/>
      </rPr>
      <t xml:space="preserve"> Inventory </t>
    </r>
    <r>
      <rPr>
        <sz val="12"/>
        <color rgb="FF222222"/>
        <rFont val="Calibri"/>
        <family val="2"/>
        <scheme val="minor"/>
      </rPr>
      <t xml:space="preserve">tab. Print </t>
    </r>
    <r>
      <rPr>
        <b/>
        <sz val="12"/>
        <color rgb="FF222222"/>
        <rFont val="Calibri"/>
        <family val="2"/>
        <scheme val="minor"/>
      </rPr>
      <t>Inventory</t>
    </r>
    <r>
      <rPr>
        <sz val="12"/>
        <color rgb="FF222222"/>
        <rFont val="Calibri"/>
        <family val="2"/>
        <scheme val="minor"/>
      </rPr>
      <t xml:space="preserve"> worksheet and do a physical count of all emergency food, water and service supplies stored at the community. Once you complete the inventory, enter the numbers on the electronic </t>
    </r>
    <r>
      <rPr>
        <b/>
        <sz val="12"/>
        <color rgb="FF222222"/>
        <rFont val="Calibri"/>
        <family val="2"/>
        <scheme val="minor"/>
      </rPr>
      <t>Inventory</t>
    </r>
    <r>
      <rPr>
        <sz val="12"/>
        <color rgb="FF222222"/>
        <rFont val="Calibri"/>
        <family val="2"/>
        <scheme val="minor"/>
      </rPr>
      <t xml:space="preserve"> worksheet. The numbers entered on this worksheet are linked to the </t>
    </r>
    <r>
      <rPr>
        <b/>
        <sz val="12"/>
        <color rgb="FF222222"/>
        <rFont val="Calibri"/>
        <family val="2"/>
        <scheme val="minor"/>
      </rPr>
      <t xml:space="preserve">Emergency Supplies worksheet </t>
    </r>
    <r>
      <rPr>
        <sz val="12"/>
        <color rgb="FF222222"/>
        <rFont val="Calibri"/>
        <family val="2"/>
        <scheme val="minor"/>
      </rPr>
      <t xml:space="preserve">and the </t>
    </r>
    <r>
      <rPr>
        <b/>
        <sz val="12"/>
        <color rgb="FF222222"/>
        <rFont val="Calibri"/>
        <family val="2"/>
        <scheme val="minor"/>
      </rPr>
      <t>Service Supplies worksheet.</t>
    </r>
    <r>
      <rPr>
        <sz val="12"/>
        <color rgb="FF222222"/>
        <rFont val="Calibri"/>
        <family val="2"/>
        <scheme val="minor"/>
      </rPr>
      <t xml:space="preserve">
</t>
    </r>
  </si>
  <si>
    <t># Cases 
on Hand (from Inventory)</t>
  </si>
  <si>
    <r>
      <t>Click on</t>
    </r>
    <r>
      <rPr>
        <b/>
        <sz val="12"/>
        <color rgb="FF222222"/>
        <rFont val="Calibri"/>
        <family val="2"/>
        <scheme val="minor"/>
      </rPr>
      <t xml:space="preserve"> Emergency Supplies worksheet</t>
    </r>
    <r>
      <rPr>
        <sz val="12"/>
        <color rgb="FF222222"/>
        <rFont val="Calibri"/>
        <family val="2"/>
        <scheme val="minor"/>
      </rPr>
      <t xml:space="preserve">.  Enter the number of residents in the </t>
    </r>
    <r>
      <rPr>
        <b/>
        <sz val="12"/>
        <color rgb="FF222222"/>
        <rFont val="Calibri"/>
        <family val="2"/>
        <scheme val="minor"/>
      </rPr>
      <t>Current Census</t>
    </r>
    <r>
      <rPr>
        <sz val="12"/>
        <color rgb="FF222222"/>
        <rFont val="Calibri"/>
        <family val="2"/>
        <scheme val="minor"/>
      </rPr>
      <t xml:space="preserve"> column. The sheet calculates the suggested amount of supplies needed by the community based on the current, actual census (not the licensed capacity). From the information entered on the electronic inventory worksheet, the </t>
    </r>
    <r>
      <rPr>
        <b/>
        <sz val="12"/>
        <color rgb="FF222222"/>
        <rFont val="Calibri"/>
        <family val="2"/>
        <scheme val="minor"/>
      </rPr>
      <t xml:space="preserve">Emergency Supplies </t>
    </r>
    <r>
      <rPr>
        <sz val="12"/>
        <color rgb="FF222222"/>
        <rFont val="Calibri"/>
        <family val="2"/>
        <scheme val="minor"/>
      </rPr>
      <t>sheet tells the suggested amount of supplies needed  in Column L. This gives a snapshot of what should be ordered for the existing community.</t>
    </r>
  </si>
  <si>
    <r>
      <t>Click</t>
    </r>
    <r>
      <rPr>
        <b/>
        <sz val="12"/>
        <color rgb="FF222222"/>
        <rFont val="Calibri"/>
        <family val="2"/>
        <scheme val="minor"/>
      </rPr>
      <t xml:space="preserve"> </t>
    </r>
    <r>
      <rPr>
        <sz val="12"/>
        <color rgb="FF222222"/>
        <rFont val="Calibri"/>
        <family val="2"/>
        <scheme val="minor"/>
      </rPr>
      <t>on</t>
    </r>
    <r>
      <rPr>
        <b/>
        <sz val="12"/>
        <color rgb="FF222222"/>
        <rFont val="Calibri"/>
        <family val="2"/>
        <scheme val="minor"/>
      </rPr>
      <t xml:space="preserve"> Service Supplies</t>
    </r>
    <r>
      <rPr>
        <sz val="12"/>
        <color rgb="FF222222"/>
        <rFont val="Calibri"/>
        <family val="2"/>
        <scheme val="minor"/>
      </rPr>
      <t xml:space="preserve"> tab. Enter the number of residents in the Current Census column. The sheet calculates the suggested amount of supplies needed by the community based on the current, actual census (not the licensed capacity). From the information entered on the electronic inventory worksheet, the </t>
    </r>
    <r>
      <rPr>
        <b/>
        <sz val="12"/>
        <color rgb="FF222222"/>
        <rFont val="Calibri"/>
        <family val="2"/>
        <scheme val="minor"/>
      </rPr>
      <t>Service Supplies</t>
    </r>
    <r>
      <rPr>
        <sz val="12"/>
        <color rgb="FF222222"/>
        <rFont val="Calibri"/>
        <family val="2"/>
        <scheme val="minor"/>
      </rPr>
      <t xml:space="preserve"> sheet tells the suggested amount of supplies needed  in Column H. This gives a snapshot of what should be ordered for the existing community.</t>
    </r>
  </si>
  <si>
    <t>each serving equivalent to 2oz. protein</t>
  </si>
  <si>
    <t>4 oz. ( 1/2 cup)</t>
  </si>
  <si>
    <t>BSN 5/16</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</si>
</sst>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sz val="12"/>
      <color rgb="FF222222"/>
      <name val="Calibri"/>
      <family val="2"/>
      <scheme val="minor"/>
    </font>
    <font>
      <u/>
      <sz val="11"/>
      <color theme="10"/>
      <name val="Calibri"/>
      <family val="2"/>
      <scheme val="minor"/>
    </font>
    <font>
      <sz val="11"/>
      <name val="Calibri"/>
      <family val="2"/>
      <scheme val="minor"/>
    </font>
    <font>
      <b/>
      <sz val="12"/>
      <color theme="0"/>
      <name val="Calibri"/>
      <family val="2"/>
      <scheme val="minor"/>
    </font>
    <font>
      <b/>
      <sz val="12"/>
      <color rgb="FF222222"/>
      <name val="Calibri"/>
      <family val="2"/>
      <scheme val="minor"/>
    </font>
    <font>
      <sz val="8"/>
      <name val="Calibri"/>
      <family val="2"/>
      <scheme val="minor"/>
    </font>
    <font>
      <i/>
      <sz val="12"/>
      <color rgb="FF222222"/>
      <name val="Calibri"/>
      <family val="2"/>
      <scheme val="minor"/>
    </font>
    <font>
      <b/>
      <sz val="11"/>
      <color theme="0"/>
      <name val="Calibri"/>
      <family val="2"/>
      <scheme val="minor"/>
    </font>
    <font>
      <b/>
      <sz val="12"/>
      <color rgb="FFFF0000"/>
      <name val="Calibri"/>
      <family val="2"/>
      <scheme val="minor"/>
    </font>
    <font>
      <sz val="11"/>
      <color theme="6" tint="0.79998168889431442"/>
      <name val="Calibri"/>
      <family val="2"/>
      <scheme val="minor"/>
    </font>
    <font>
      <sz val="14"/>
      <color theme="1"/>
      <name val="Calibri"/>
      <family val="2"/>
      <scheme val="minor"/>
    </font>
    <font>
      <sz val="14"/>
      <color theme="1"/>
      <name val="Calibri (Body)"/>
    </font>
    <font>
      <b/>
      <sz val="12"/>
      <color theme="6" tint="-0.249977111117893"/>
      <name val="Calibri"/>
      <family val="2"/>
      <scheme val="minor"/>
    </font>
    <font>
      <b/>
      <sz val="11"/>
      <color theme="6" tint="-0.249977111117893"/>
      <name val="Calibri"/>
      <family val="2"/>
      <scheme val="minor"/>
    </font>
    <font>
      <b/>
      <sz val="11"/>
      <color rgb="FFFF0000"/>
      <name val="Calibri"/>
      <family val="2"/>
      <scheme val="minor"/>
    </font>
    <font>
      <sz val="9"/>
      <color theme="1"/>
      <name val="Calibri"/>
      <family val="2"/>
      <scheme val="minor"/>
    </font>
  </fonts>
  <fills count="8">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bgColor indexed="64"/>
      </patternFill>
    </fill>
    <fill>
      <patternFill patternType="solid">
        <fgColor rgb="FFFFFF9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s>
  <cellStyleXfs count="2">
    <xf numFmtId="0" fontId="0" fillId="0" borderId="0"/>
    <xf numFmtId="0" fontId="10" fillId="0" borderId="0" applyNumberFormat="0" applyFill="0" applyBorder="0" applyAlignment="0" applyProtection="0"/>
  </cellStyleXfs>
  <cellXfs count="167">
    <xf numFmtId="0" fontId="0" fillId="0" borderId="0" xfId="0"/>
    <xf numFmtId="0" fontId="0" fillId="0" borderId="0" xfId="0" applyAlignment="1">
      <alignment horizontal="center"/>
    </xf>
    <xf numFmtId="0" fontId="3" fillId="0" borderId="0" xfId="0" applyFont="1"/>
    <xf numFmtId="0" fontId="0" fillId="0" borderId="0" xfId="0" applyAlignment="1">
      <alignment wrapText="1"/>
    </xf>
    <xf numFmtId="0" fontId="0" fillId="0" borderId="1" xfId="0" applyBorder="1"/>
    <xf numFmtId="0" fontId="0" fillId="0" borderId="1" xfId="0" applyBorder="1" applyAlignment="1">
      <alignment wrapText="1"/>
    </xf>
    <xf numFmtId="0" fontId="4" fillId="0" borderId="0" xfId="0" applyFont="1"/>
    <xf numFmtId="0" fontId="3" fillId="0" borderId="1" xfId="0" applyFont="1" applyBorder="1" applyAlignment="1">
      <alignment wrapText="1"/>
    </xf>
    <xf numFmtId="0" fontId="4" fillId="0" borderId="1" xfId="0" applyFont="1" applyBorder="1"/>
    <xf numFmtId="0" fontId="0" fillId="0" borderId="0" xfId="0" applyFont="1"/>
    <xf numFmtId="0" fontId="0" fillId="0" borderId="0" xfId="0" applyFont="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pplyAlignment="1">
      <alignment wrapText="1"/>
    </xf>
    <xf numFmtId="0" fontId="0" fillId="0" borderId="6" xfId="0" applyBorder="1" applyAlignment="1">
      <alignment wrapText="1"/>
    </xf>
    <xf numFmtId="0" fontId="7" fillId="0" borderId="0" xfId="0" applyFont="1"/>
    <xf numFmtId="0" fontId="5" fillId="0" borderId="1" xfId="0" applyFont="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vertical="center"/>
    </xf>
    <xf numFmtId="1" fontId="3" fillId="0" borderId="1" xfId="0" applyNumberFormat="1" applyFont="1" applyBorder="1" applyAlignment="1">
      <alignment horizontal="center" vertical="center"/>
    </xf>
    <xf numFmtId="0" fontId="0" fillId="0" borderId="6" xfId="0" applyBorder="1" applyAlignment="1">
      <alignment horizontal="center"/>
    </xf>
    <xf numFmtId="0" fontId="0" fillId="0" borderId="4" xfId="0" applyBorder="1" applyAlignment="1">
      <alignment horizontal="center"/>
    </xf>
    <xf numFmtId="0" fontId="0" fillId="0" borderId="1" xfId="0" applyBorder="1" applyAlignment="1">
      <alignment horizontal="left" wrapText="1"/>
    </xf>
    <xf numFmtId="0" fontId="0" fillId="0" borderId="5" xfId="0" applyFill="1" applyBorder="1" applyAlignment="1">
      <alignment horizontal="center"/>
    </xf>
    <xf numFmtId="0" fontId="0" fillId="0" borderId="2" xfId="0" applyBorder="1" applyAlignment="1">
      <alignment horizontal="center"/>
    </xf>
    <xf numFmtId="0" fontId="0" fillId="0" borderId="8" xfId="0" applyBorder="1" applyAlignment="1">
      <alignment wrapText="1"/>
    </xf>
    <xf numFmtId="0" fontId="5" fillId="0" borderId="1" xfId="0" applyFont="1" applyBorder="1" applyAlignment="1">
      <alignment horizontal="left"/>
    </xf>
    <xf numFmtId="0" fontId="0" fillId="0" borderId="1" xfId="0" applyFill="1" applyBorder="1" applyAlignment="1">
      <alignment horizontal="center"/>
    </xf>
    <xf numFmtId="0" fontId="0" fillId="0" borderId="8" xfId="0" applyBorder="1"/>
    <xf numFmtId="0" fontId="0" fillId="0" borderId="8" xfId="0" applyBorder="1" applyAlignment="1">
      <alignment horizontal="center"/>
    </xf>
    <xf numFmtId="0" fontId="0" fillId="0" borderId="5" xfId="0" applyBorder="1" applyAlignment="1">
      <alignment wrapText="1"/>
    </xf>
    <xf numFmtId="0" fontId="0" fillId="0" borderId="9"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wrapText="1"/>
    </xf>
    <xf numFmtId="0" fontId="0" fillId="0" borderId="7" xfId="0" applyBorder="1" applyAlignment="1">
      <alignment horizontal="center" wrapText="1"/>
    </xf>
    <xf numFmtId="1" fontId="0" fillId="0" borderId="6" xfId="0" applyNumberFormat="1" applyFont="1" applyBorder="1" applyAlignment="1">
      <alignment horizontal="center" vertical="center" wrapText="1"/>
    </xf>
    <xf numFmtId="1" fontId="3" fillId="0" borderId="1" xfId="0" applyNumberFormat="1" applyFont="1" applyBorder="1" applyAlignment="1">
      <alignment horizontal="center"/>
    </xf>
    <xf numFmtId="0" fontId="3" fillId="0" borderId="8" xfId="0" applyFont="1" applyBorder="1" applyAlignment="1">
      <alignment wrapText="1"/>
    </xf>
    <xf numFmtId="0" fontId="0" fillId="0" borderId="9" xfId="0" applyBorder="1"/>
    <xf numFmtId="0" fontId="0" fillId="0" borderId="6" xfId="0" applyBorder="1"/>
    <xf numFmtId="0" fontId="3" fillId="0" borderId="1" xfId="0" applyFont="1" applyBorder="1" applyAlignment="1">
      <alignment horizontal="center" wrapText="1"/>
    </xf>
    <xf numFmtId="0" fontId="3" fillId="0" borderId="1" xfId="0" applyFont="1" applyBorder="1" applyAlignment="1">
      <alignment horizontal="left" wrapText="1"/>
    </xf>
    <xf numFmtId="0" fontId="0" fillId="0" borderId="4" xfId="0" applyBorder="1" applyAlignment="1">
      <alignment horizontal="left" wrapText="1"/>
    </xf>
    <xf numFmtId="0" fontId="0" fillId="0" borderId="7" xfId="0" applyBorder="1" applyAlignment="1">
      <alignment horizontal="left"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wrapText="1"/>
    </xf>
    <xf numFmtId="0" fontId="0" fillId="0" borderId="0" xfId="0" applyBorder="1" applyAlignment="1">
      <alignment horizontal="center" vertical="center"/>
    </xf>
    <xf numFmtId="0" fontId="0" fillId="0" borderId="1" xfId="0" applyFill="1" applyBorder="1"/>
    <xf numFmtId="0" fontId="0" fillId="0" borderId="7" xfId="0" applyBorder="1"/>
    <xf numFmtId="0" fontId="0" fillId="0" borderId="4" xfId="0" applyBorder="1"/>
    <xf numFmtId="0" fontId="0" fillId="0" borderId="8" xfId="0" applyFill="1" applyBorder="1" applyAlignment="1">
      <alignment vertical="center"/>
    </xf>
    <xf numFmtId="0" fontId="0" fillId="0" borderId="7" xfId="0" applyFill="1" applyBorder="1" applyAlignment="1">
      <alignment vertical="center"/>
    </xf>
    <xf numFmtId="0" fontId="0" fillId="0" borderId="8" xfId="0" applyBorder="1" applyAlignment="1">
      <alignment horizontal="center" vertical="center"/>
    </xf>
    <xf numFmtId="0" fontId="0" fillId="0" borderId="11" xfId="0" applyBorder="1" applyAlignment="1">
      <alignment vertical="center"/>
    </xf>
    <xf numFmtId="0" fontId="8" fillId="0" borderId="0" xfId="0" applyFont="1"/>
    <xf numFmtId="0" fontId="9" fillId="0" borderId="0" xfId="0" applyFont="1" applyAlignment="1">
      <alignment vertical="top" wrapText="1"/>
    </xf>
    <xf numFmtId="0" fontId="5" fillId="2" borderId="0" xfId="0" applyFont="1" applyFill="1" applyAlignment="1">
      <alignment horizontal="center" vertical="top"/>
    </xf>
    <xf numFmtId="0" fontId="3" fillId="4" borderId="0" xfId="0" applyFont="1" applyFill="1" applyAlignment="1">
      <alignment horizontal="center"/>
    </xf>
    <xf numFmtId="0" fontId="0" fillId="3" borderId="0" xfId="0" applyFill="1" applyAlignment="1">
      <alignment horizontal="center" vertical="center"/>
    </xf>
    <xf numFmtId="0" fontId="10" fillId="0" borderId="0" xfId="1"/>
    <xf numFmtId="0" fontId="10" fillId="0" borderId="0" xfId="1" applyAlignment="1">
      <alignment wrapText="1"/>
    </xf>
    <xf numFmtId="0" fontId="11" fillId="0" borderId="0" xfId="1" applyFont="1"/>
    <xf numFmtId="0" fontId="0" fillId="0" borderId="1" xfId="0" applyFont="1" applyFill="1" applyBorder="1" applyAlignment="1">
      <alignment horizontal="center" vertical="center"/>
    </xf>
    <xf numFmtId="1" fontId="3" fillId="0" borderId="11" xfId="0" applyNumberFormat="1" applyFont="1" applyFill="1" applyBorder="1" applyAlignment="1">
      <alignment horizontal="center" vertical="center" wrapText="1"/>
    </xf>
    <xf numFmtId="0" fontId="0" fillId="0" borderId="11" xfId="0" applyFill="1" applyBorder="1" applyAlignment="1">
      <alignment wrapText="1"/>
    </xf>
    <xf numFmtId="0" fontId="3" fillId="0" borderId="6" xfId="0" applyFont="1" applyFill="1" applyBorder="1" applyAlignment="1">
      <alignment horizontal="center"/>
    </xf>
    <xf numFmtId="1" fontId="3" fillId="0" borderId="12" xfId="0" applyNumberFormat="1" applyFont="1" applyFill="1" applyBorder="1" applyAlignment="1">
      <alignment horizontal="center" wrapText="1"/>
    </xf>
    <xf numFmtId="0" fontId="12" fillId="5" borderId="1" xfId="0" applyFont="1" applyFill="1" applyBorder="1" applyAlignment="1">
      <alignment horizontal="center" wrapText="1"/>
    </xf>
    <xf numFmtId="0" fontId="0" fillId="0" borderId="1" xfId="0" applyFill="1" applyBorder="1" applyAlignment="1">
      <alignment wrapText="1"/>
    </xf>
    <xf numFmtId="0" fontId="3" fillId="0" borderId="6" xfId="0" applyFont="1" applyBorder="1"/>
    <xf numFmtId="0" fontId="12" fillId="0" borderId="1" xfId="0" applyFont="1" applyFill="1" applyBorder="1" applyAlignment="1">
      <alignment horizontal="center"/>
    </xf>
    <xf numFmtId="0" fontId="3" fillId="0" borderId="1" xfId="0" applyFont="1" applyFill="1" applyBorder="1" applyAlignment="1">
      <alignment horizontal="center"/>
    </xf>
    <xf numFmtId="0" fontId="0" fillId="6" borderId="0" xfId="0" applyFill="1" applyAlignment="1">
      <alignment horizontal="center" vertical="center"/>
    </xf>
    <xf numFmtId="0" fontId="6" fillId="4" borderId="0" xfId="0" applyFont="1" applyFill="1"/>
    <xf numFmtId="0" fontId="3" fillId="3" borderId="0" xfId="0" applyFont="1" applyFill="1"/>
    <xf numFmtId="0" fontId="3" fillId="0" borderId="0" xfId="0" applyFont="1" applyFill="1"/>
    <xf numFmtId="0" fontId="3" fillId="0" borderId="1" xfId="0" applyFont="1" applyBorder="1"/>
    <xf numFmtId="0" fontId="3" fillId="0" borderId="1" xfId="0" applyFont="1" applyBorder="1" applyAlignment="1">
      <alignment horizontal="center"/>
    </xf>
    <xf numFmtId="0" fontId="0" fillId="0" borderId="1" xfId="0" applyFont="1" applyFill="1" applyBorder="1"/>
    <xf numFmtId="0" fontId="3" fillId="0" borderId="0" xfId="0" applyFont="1" applyFill="1" applyBorder="1" applyAlignment="1">
      <alignment horizontal="left"/>
    </xf>
    <xf numFmtId="0" fontId="3" fillId="4" borderId="0" xfId="0" applyFont="1" applyFill="1" applyBorder="1"/>
    <xf numFmtId="0" fontId="0" fillId="4" borderId="0" xfId="0" applyFill="1" applyBorder="1"/>
    <xf numFmtId="0" fontId="3" fillId="4" borderId="0" xfId="0" applyFont="1" applyFill="1" applyAlignment="1">
      <alignment vertical="top" wrapText="1"/>
    </xf>
    <xf numFmtId="0" fontId="3" fillId="0" borderId="0" xfId="0" applyFont="1" applyFill="1" applyAlignment="1">
      <alignment horizontal="center"/>
    </xf>
    <xf numFmtId="0" fontId="0" fillId="0" borderId="0" xfId="0" applyFill="1" applyAlignment="1">
      <alignment horizontal="center"/>
    </xf>
    <xf numFmtId="0" fontId="0" fillId="0" borderId="0" xfId="0" applyFill="1"/>
    <xf numFmtId="0" fontId="0" fillId="0" borderId="14" xfId="0" applyBorder="1"/>
    <xf numFmtId="0" fontId="0" fillId="0" borderId="3" xfId="0" applyBorder="1"/>
    <xf numFmtId="0" fontId="0" fillId="0" borderId="15" xfId="0" applyBorder="1"/>
    <xf numFmtId="0" fontId="3" fillId="0" borderId="0" xfId="0" applyFont="1" applyFill="1" applyBorder="1" applyAlignment="1">
      <alignment vertical="top" wrapText="1"/>
    </xf>
    <xf numFmtId="0" fontId="3" fillId="0" borderId="0" xfId="0" applyFont="1" applyFill="1" applyAlignment="1">
      <alignment horizontal="left"/>
    </xf>
    <xf numFmtId="0" fontId="7" fillId="0" borderId="0" xfId="0" applyFont="1" applyFill="1" applyAlignment="1">
      <alignment horizontal="left"/>
    </xf>
    <xf numFmtId="0" fontId="7" fillId="0" borderId="0" xfId="0" applyFont="1" applyFill="1" applyBorder="1" applyAlignment="1">
      <alignment horizontal="left"/>
    </xf>
    <xf numFmtId="0" fontId="0" fillId="0" borderId="0" xfId="0" applyAlignment="1">
      <alignment horizontal="left" vertical="top"/>
    </xf>
    <xf numFmtId="0" fontId="0" fillId="7" borderId="1" xfId="0" applyFill="1"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1" xfId="0" applyBorder="1" applyAlignment="1" applyProtection="1">
      <alignment horizontal="center" wrapText="1"/>
      <protection locked="0"/>
    </xf>
    <xf numFmtId="0" fontId="3" fillId="0" borderId="1" xfId="0" applyFont="1" applyBorder="1" applyAlignment="1" applyProtection="1">
      <alignment wrapText="1"/>
      <protection locked="0"/>
    </xf>
    <xf numFmtId="0" fontId="2" fillId="3" borderId="0" xfId="0" applyFont="1" applyFill="1" applyAlignment="1">
      <alignment vertical="top" wrapText="1"/>
    </xf>
    <xf numFmtId="0" fontId="9" fillId="0" borderId="0" xfId="0" applyFont="1" applyAlignment="1">
      <alignment horizontal="left" vertical="top" wrapText="1"/>
    </xf>
    <xf numFmtId="0" fontId="0" fillId="0" borderId="0" xfId="0" applyProtection="1">
      <protection locked="0"/>
    </xf>
    <xf numFmtId="0" fontId="0" fillId="3" borderId="0" xfId="0" applyFill="1" applyAlignment="1" applyProtection="1">
      <alignment horizontal="center" vertical="center"/>
    </xf>
    <xf numFmtId="0" fontId="9" fillId="0" borderId="0" xfId="0" applyFont="1" applyAlignment="1" applyProtection="1">
      <alignment horizontal="left" vertical="top" wrapText="1"/>
    </xf>
    <xf numFmtId="0" fontId="0" fillId="0" borderId="0" xfId="0" applyProtection="1"/>
    <xf numFmtId="0" fontId="0" fillId="0" borderId="1" xfId="0" applyBorder="1" applyAlignment="1" applyProtection="1">
      <alignment horizontal="center"/>
      <protection locked="0"/>
    </xf>
    <xf numFmtId="0" fontId="3" fillId="7" borderId="0" xfId="0" applyFont="1" applyFill="1" applyAlignment="1" applyProtection="1">
      <alignment horizontal="center"/>
      <protection locked="0"/>
    </xf>
    <xf numFmtId="0" fontId="7" fillId="7" borderId="0" xfId="0" applyFont="1" applyFill="1" applyProtection="1">
      <protection locked="0"/>
    </xf>
    <xf numFmtId="0" fontId="0" fillId="7" borderId="1" xfId="0" applyFill="1" applyBorder="1" applyAlignment="1" applyProtection="1">
      <alignment horizontal="center"/>
      <protection locked="0"/>
    </xf>
    <xf numFmtId="0" fontId="3" fillId="7" borderId="0" xfId="0" applyFont="1" applyFill="1" applyBorder="1" applyProtection="1">
      <protection locked="0"/>
    </xf>
    <xf numFmtId="0" fontId="0" fillId="0" borderId="11" xfId="0" applyFont="1" applyFill="1" applyBorder="1" applyAlignment="1">
      <alignment horizontal="center" vertical="center"/>
    </xf>
    <xf numFmtId="0" fontId="0" fillId="0" borderId="11" xfId="0" applyFill="1" applyBorder="1" applyAlignment="1">
      <alignment horizontal="center"/>
    </xf>
    <xf numFmtId="1" fontId="3" fillId="0" borderId="1" xfId="0" applyNumberFormat="1" applyFont="1" applyBorder="1" applyAlignment="1" applyProtection="1">
      <alignment horizontal="center" vertical="center"/>
      <protection locked="0"/>
    </xf>
    <xf numFmtId="1" fontId="3" fillId="0" borderId="1" xfId="0" applyNumberFormat="1" applyFont="1" applyFill="1" applyBorder="1" applyAlignment="1">
      <alignment horizontal="center" vertical="center"/>
    </xf>
    <xf numFmtId="1" fontId="3" fillId="0" borderId="12" xfId="0" applyNumberFormat="1" applyFont="1" applyFill="1" applyBorder="1" applyAlignment="1">
      <alignment horizontal="center"/>
    </xf>
    <xf numFmtId="0" fontId="17" fillId="0" borderId="1" xfId="0" applyFont="1" applyFill="1" applyBorder="1" applyAlignment="1">
      <alignment horizontal="center" wrapText="1"/>
    </xf>
    <xf numFmtId="1" fontId="3" fillId="0" borderId="1" xfId="0" applyNumberFormat="1" applyFont="1" applyFill="1" applyBorder="1" applyAlignment="1">
      <alignment horizontal="center"/>
    </xf>
    <xf numFmtId="0" fontId="0" fillId="7" borderId="1" xfId="0" applyFill="1" applyBorder="1" applyAlignment="1" applyProtection="1">
      <alignment horizontal="center" wrapText="1"/>
      <protection locked="0"/>
    </xf>
    <xf numFmtId="0" fontId="16" fillId="5" borderId="10" xfId="0" applyFont="1" applyFill="1" applyBorder="1" applyAlignment="1">
      <alignment horizontal="center" wrapText="1"/>
    </xf>
    <xf numFmtId="0" fontId="16" fillId="5" borderId="1" xfId="0" applyFont="1" applyFill="1" applyBorder="1" applyAlignment="1">
      <alignment horizontal="center" wrapText="1"/>
    </xf>
    <xf numFmtId="0" fontId="3" fillId="0" borderId="2" xfId="0" applyFont="1" applyBorder="1" applyAlignment="1">
      <alignment horizontal="center" wrapText="1"/>
    </xf>
    <xf numFmtId="0" fontId="3" fillId="0" borderId="8" xfId="0" applyFont="1" applyBorder="1"/>
    <xf numFmtId="0" fontId="3" fillId="0" borderId="1" xfId="0" applyFont="1" applyBorder="1" applyProtection="1">
      <protection locked="0"/>
    </xf>
    <xf numFmtId="0" fontId="16" fillId="5" borderId="1" xfId="0" applyFont="1" applyFill="1" applyBorder="1" applyAlignment="1" applyProtection="1">
      <alignment horizontal="center"/>
      <protection locked="0"/>
    </xf>
    <xf numFmtId="0" fontId="16" fillId="5" borderId="1" xfId="0" applyFont="1" applyFill="1" applyBorder="1" applyAlignment="1">
      <alignment horizontal="center"/>
    </xf>
    <xf numFmtId="0" fontId="3" fillId="0" borderId="0" xfId="0" applyFont="1" applyFill="1" applyAlignment="1" applyProtection="1">
      <alignment horizontal="center"/>
      <protection locked="0"/>
    </xf>
    <xf numFmtId="0" fontId="16" fillId="0" borderId="0" xfId="0" applyFont="1" applyFill="1" applyBorder="1" applyAlignment="1">
      <alignment horizontal="center" wrapText="1"/>
    </xf>
    <xf numFmtId="0" fontId="0" fillId="0" borderId="0" xfId="0" applyFill="1" applyBorder="1" applyAlignment="1" applyProtection="1">
      <alignment horizontal="center"/>
      <protection locked="0"/>
    </xf>
    <xf numFmtId="0" fontId="18" fillId="0" borderId="0" xfId="0" applyFont="1"/>
    <xf numFmtId="0" fontId="19" fillId="0" borderId="0" xfId="0" applyFont="1"/>
    <xf numFmtId="0" fontId="20" fillId="0" borderId="0" xfId="0" applyFont="1"/>
    <xf numFmtId="0" fontId="21" fillId="0" borderId="1" xfId="0" applyFont="1" applyFill="1" applyBorder="1" applyAlignment="1">
      <alignment horizontal="center" wrapText="1"/>
    </xf>
    <xf numFmtId="0" fontId="22" fillId="0" borderId="1" xfId="0" applyFont="1" applyFill="1" applyBorder="1" applyAlignment="1">
      <alignment horizontal="center" wrapText="1"/>
    </xf>
    <xf numFmtId="0" fontId="23" fillId="0" borderId="5" xfId="0" applyFont="1" applyFill="1" applyBorder="1" applyAlignment="1">
      <alignment horizontal="center" wrapText="1"/>
    </xf>
    <xf numFmtId="1" fontId="0" fillId="0" borderId="10" xfId="0" applyNumberFormat="1" applyFill="1" applyBorder="1" applyAlignment="1" applyProtection="1">
      <alignment horizontal="center"/>
      <protection locked="0"/>
    </xf>
    <xf numFmtId="1" fontId="0" fillId="0" borderId="11" xfId="0" applyNumberFormat="1" applyFill="1" applyBorder="1" applyAlignment="1" applyProtection="1">
      <alignment horizontal="center"/>
      <protection locked="0"/>
    </xf>
    <xf numFmtId="1" fontId="0" fillId="0" borderId="12" xfId="0" applyNumberFormat="1" applyFill="1" applyBorder="1" applyAlignment="1" applyProtection="1">
      <alignment horizontal="center"/>
      <protection locked="0"/>
    </xf>
    <xf numFmtId="1" fontId="0" fillId="0" borderId="13" xfId="0" applyNumberFormat="1" applyFill="1" applyBorder="1" applyAlignment="1" applyProtection="1">
      <alignment horizontal="center" vertical="center"/>
      <protection locked="0"/>
    </xf>
    <xf numFmtId="1" fontId="0" fillId="0" borderId="11"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0" fontId="24" fillId="0" borderId="0" xfId="0" applyFont="1"/>
    <xf numFmtId="0" fontId="0" fillId="0" borderId="0" xfId="0" applyAlignment="1">
      <alignment horizontal="left" vertical="top" wrapText="1"/>
    </xf>
    <xf numFmtId="0" fontId="6" fillId="4" borderId="0" xfId="0" applyFont="1" applyFill="1" applyBorder="1" applyAlignment="1">
      <alignment horizontal="left" vertical="top" wrapText="1"/>
    </xf>
    <xf numFmtId="0" fontId="0" fillId="0" borderId="2" xfId="0" applyFont="1"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6" fillId="0" borderId="4" xfId="0" applyFont="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3" fillId="7" borderId="0" xfId="0" applyFont="1" applyFill="1" applyBorder="1" applyAlignment="1">
      <alignment horizontal="left" wrapText="1"/>
    </xf>
    <xf numFmtId="0" fontId="3" fillId="0" borderId="0" xfId="0" applyFont="1" applyFill="1" applyAlignment="1">
      <alignment horizontal="left"/>
    </xf>
    <xf numFmtId="0" fontId="7" fillId="0" borderId="0" xfId="0" applyFont="1" applyFill="1" applyAlignment="1">
      <alignment horizontal="left"/>
    </xf>
    <xf numFmtId="0" fontId="7" fillId="4" borderId="0" xfId="0" applyFont="1" applyFill="1" applyAlignment="1">
      <alignment horizontal="left"/>
    </xf>
    <xf numFmtId="0" fontId="3" fillId="3" borderId="0" xfId="0" applyFont="1" applyFill="1" applyAlignment="1">
      <alignment horizontal="left"/>
    </xf>
    <xf numFmtId="0" fontId="7" fillId="3" borderId="0" xfId="0" applyFont="1" applyFill="1" applyAlignment="1">
      <alignment horizontal="left"/>
    </xf>
    <xf numFmtId="0" fontId="0" fillId="0" borderId="0" xfId="0" applyAlignment="1">
      <alignment horizontal="center"/>
    </xf>
    <xf numFmtId="0" fontId="7" fillId="4" borderId="0" xfId="0" applyFont="1" applyFill="1" applyAlignment="1">
      <alignment horizontal="left" wrapText="1"/>
    </xf>
    <xf numFmtId="0" fontId="8" fillId="0" borderId="0" xfId="0" applyFont="1" applyAlignment="1">
      <alignment horizontal="left" vertical="top" wrapText="1"/>
    </xf>
    <xf numFmtId="0" fontId="3" fillId="0" borderId="0" xfId="0" applyFont="1" applyAlignment="1">
      <alignment horizontal="left" vertical="top" wrapText="1"/>
    </xf>
    <xf numFmtId="0" fontId="6" fillId="4" borderId="0" xfId="0" applyFont="1" applyFill="1" applyBorder="1" applyAlignment="1">
      <alignment horizontal="left"/>
    </xf>
    <xf numFmtId="0" fontId="3" fillId="3" borderId="0" xfId="0" applyFont="1" applyFill="1" applyBorder="1" applyAlignment="1">
      <alignment horizontal="left"/>
    </xf>
    <xf numFmtId="0" fontId="7" fillId="3" borderId="0" xfId="0" applyFont="1" applyFill="1" applyBorder="1" applyAlignment="1">
      <alignment horizontal="left"/>
    </xf>
    <xf numFmtId="0" fontId="3" fillId="7" borderId="0" xfId="0" applyFont="1" applyFill="1" applyBorder="1" applyAlignment="1">
      <alignment horizontal="left"/>
    </xf>
    <xf numFmtId="0" fontId="3" fillId="7" borderId="0" xfId="0" applyFont="1" applyFill="1" applyAlignment="1">
      <alignment horizontal="left"/>
    </xf>
    <xf numFmtId="0" fontId="0" fillId="3" borderId="0" xfId="0" applyFill="1" applyAlignment="1">
      <alignment horizontal="left"/>
    </xf>
    <xf numFmtId="0" fontId="6" fillId="4"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cdc.gov/healthywater/pdf/emergency/emergency-water-supply-planning-guide.pdf" TargetMode="External"/><Relationship Id="rId2" Type="http://schemas.openxmlformats.org/officeDocument/2006/relationships/hyperlink" Target="https://ahca.myflorida.com/MCHQ/Field_Ops/Protocols/Nursing_Homes/Files/emergwater-7dayfoodmemo1.pdf" TargetMode="External"/><Relationship Id="rId1" Type="http://schemas.openxmlformats.org/officeDocument/2006/relationships/hyperlink" Target="https://www.flrules.org/gateway/ruleno.asp?id=59A-4.110" TargetMode="External"/><Relationship Id="rId5" Type="http://schemas.openxmlformats.org/officeDocument/2006/relationships/printerSettings" Target="../printerSettings/printerSettings6.bin"/><Relationship Id="rId4" Type="http://schemas.openxmlformats.org/officeDocument/2006/relationships/hyperlink" Target="https://www.flrules.org/gateway/RuleNo.asp?title=ASSISTED%20LIVING%20FACILITIES&amp;ID=58A-5.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opLeftCell="A4" zoomScale="112" zoomScaleNormal="112" zoomScalePageLayoutView="112" workbookViewId="0">
      <selection activeCell="A12" sqref="A12"/>
    </sheetView>
  </sheetViews>
  <sheetFormatPr defaultColWidth="8.6640625" defaultRowHeight="14.4"/>
  <cols>
    <col min="1" max="1" width="30.109375" customWidth="1"/>
    <col min="2" max="2" width="89.109375" customWidth="1"/>
  </cols>
  <sheetData>
    <row r="1" spans="1:2" ht="66" customHeight="1">
      <c r="A1" s="84" t="s">
        <v>146</v>
      </c>
      <c r="B1" s="100" t="s">
        <v>141</v>
      </c>
    </row>
    <row r="2" spans="1:2" ht="15.6">
      <c r="A2" s="58" t="s">
        <v>88</v>
      </c>
      <c r="B2" s="59" t="s">
        <v>87</v>
      </c>
    </row>
    <row r="3" spans="1:2" s="105" customFormat="1" ht="68.400000000000006" customHeight="1">
      <c r="A3" s="103">
        <v>1</v>
      </c>
      <c r="B3" s="104" t="s">
        <v>205</v>
      </c>
    </row>
    <row r="4" spans="1:2" ht="95.4" customHeight="1">
      <c r="A4" s="60">
        <v>2</v>
      </c>
      <c r="B4" s="57" t="s">
        <v>207</v>
      </c>
    </row>
    <row r="5" spans="1:2" ht="79.650000000000006" customHeight="1">
      <c r="A5" s="60">
        <v>3</v>
      </c>
      <c r="B5" s="101" t="s">
        <v>208</v>
      </c>
    </row>
    <row r="6" spans="1:2" ht="81.599999999999994" customHeight="1">
      <c r="A6" s="74">
        <v>4</v>
      </c>
      <c r="B6" s="57" t="s">
        <v>164</v>
      </c>
    </row>
    <row r="7" spans="1:2" ht="31.2">
      <c r="A7" s="74">
        <v>5</v>
      </c>
      <c r="B7" s="57" t="s">
        <v>140</v>
      </c>
    </row>
    <row r="8" spans="1:2" ht="37.35" customHeight="1">
      <c r="A8" s="60">
        <v>6</v>
      </c>
      <c r="B8" s="57" t="s">
        <v>158</v>
      </c>
    </row>
    <row r="11" spans="1:2" ht="17.399999999999999">
      <c r="A11" s="131" t="s">
        <v>204</v>
      </c>
    </row>
    <row r="12" spans="1:2">
      <c r="A12" s="141" t="s">
        <v>211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opLeftCell="A37" workbookViewId="0">
      <selection activeCell="F41" sqref="F41"/>
    </sheetView>
  </sheetViews>
  <sheetFormatPr defaultColWidth="8.6640625" defaultRowHeight="14.4"/>
  <cols>
    <col min="1" max="1" width="13.109375" customWidth="1"/>
    <col min="2" max="2" width="23.109375" style="3" customWidth="1"/>
    <col min="3" max="3" width="13.33203125" style="3" customWidth="1"/>
    <col min="4" max="4" width="14.44140625" style="3" customWidth="1"/>
    <col min="5" max="5" width="18.109375" style="3" customWidth="1"/>
    <col min="6" max="6" width="19" style="3" customWidth="1"/>
    <col min="7" max="7" width="15.33203125" customWidth="1"/>
  </cols>
  <sheetData>
    <row r="1" spans="1:15" ht="29.1" customHeight="1">
      <c r="A1" s="143" t="s">
        <v>138</v>
      </c>
      <c r="B1" s="143"/>
      <c r="C1" s="143"/>
      <c r="D1" s="143"/>
      <c r="E1" s="143"/>
      <c r="F1" s="143"/>
      <c r="G1" s="143"/>
    </row>
    <row r="2" spans="1:15" s="3" customFormat="1" ht="33" customHeight="1">
      <c r="A2" s="150" t="s">
        <v>149</v>
      </c>
      <c r="B2" s="150"/>
      <c r="C2" s="91"/>
      <c r="D2" s="91"/>
      <c r="E2" s="91"/>
      <c r="F2" s="91"/>
      <c r="G2" s="91"/>
    </row>
    <row r="3" spans="1:15" ht="16.350000000000001" customHeight="1">
      <c r="A3" s="81"/>
      <c r="B3" s="81"/>
      <c r="C3" s="81"/>
      <c r="D3" s="81"/>
      <c r="E3" s="81"/>
      <c r="F3" s="81"/>
      <c r="G3" s="81"/>
    </row>
    <row r="4" spans="1:15">
      <c r="A4" s="123" t="s">
        <v>32</v>
      </c>
      <c r="B4" s="99" t="s">
        <v>9</v>
      </c>
      <c r="C4" s="99" t="s">
        <v>51</v>
      </c>
      <c r="D4" s="99" t="s">
        <v>191</v>
      </c>
      <c r="E4" s="99" t="s">
        <v>192</v>
      </c>
      <c r="F4" s="124" t="s">
        <v>193</v>
      </c>
      <c r="G4" s="79" t="s">
        <v>194</v>
      </c>
    </row>
    <row r="5" spans="1:15" ht="14.85" customHeight="1">
      <c r="A5" s="97"/>
      <c r="B5" s="97" t="s">
        <v>10</v>
      </c>
      <c r="C5" s="97" t="s">
        <v>168</v>
      </c>
      <c r="D5" s="97" t="s">
        <v>5</v>
      </c>
      <c r="E5" s="98">
        <v>12</v>
      </c>
      <c r="F5" s="96"/>
      <c r="G5" s="19">
        <f>F5*6*12</f>
        <v>0</v>
      </c>
    </row>
    <row r="6" spans="1:15" ht="14.85" customHeight="1">
      <c r="A6" s="97"/>
      <c r="B6" s="97" t="s">
        <v>24</v>
      </c>
      <c r="C6" s="97" t="s">
        <v>89</v>
      </c>
      <c r="D6" s="97" t="s">
        <v>185</v>
      </c>
      <c r="E6" s="98">
        <v>25</v>
      </c>
      <c r="F6" s="96"/>
      <c r="G6" s="11">
        <f>F6*6*25</f>
        <v>0</v>
      </c>
    </row>
    <row r="7" spans="1:15" ht="14.85" customHeight="1">
      <c r="A7" s="97"/>
      <c r="B7" s="97" t="s">
        <v>22</v>
      </c>
      <c r="C7" s="97" t="s">
        <v>168</v>
      </c>
      <c r="D7" s="97" t="s">
        <v>5</v>
      </c>
      <c r="E7" s="98">
        <v>12</v>
      </c>
      <c r="F7" s="96"/>
      <c r="G7" s="11">
        <f>F7*6*12</f>
        <v>0</v>
      </c>
    </row>
    <row r="8" spans="1:15">
      <c r="A8" s="97"/>
      <c r="B8" s="97" t="s">
        <v>44</v>
      </c>
      <c r="C8" s="97" t="s">
        <v>168</v>
      </c>
      <c r="D8" s="97" t="s">
        <v>5</v>
      </c>
      <c r="E8" s="98">
        <v>12</v>
      </c>
      <c r="F8" s="96"/>
      <c r="G8" s="11">
        <f t="shared" ref="G8:G9" si="0">F8*6*12</f>
        <v>0</v>
      </c>
    </row>
    <row r="9" spans="1:15">
      <c r="A9" s="97"/>
      <c r="B9" s="97" t="s">
        <v>11</v>
      </c>
      <c r="C9" s="97" t="s">
        <v>168</v>
      </c>
      <c r="D9" s="97" t="s">
        <v>52</v>
      </c>
      <c r="E9" s="98">
        <v>12</v>
      </c>
      <c r="F9" s="96"/>
      <c r="G9" s="11">
        <f t="shared" si="0"/>
        <v>0</v>
      </c>
    </row>
    <row r="10" spans="1:15">
      <c r="A10" s="97"/>
      <c r="B10" s="97" t="s">
        <v>25</v>
      </c>
      <c r="C10" s="97" t="s">
        <v>169</v>
      </c>
      <c r="D10" s="97" t="s">
        <v>170</v>
      </c>
      <c r="E10" s="98">
        <v>24</v>
      </c>
      <c r="F10" s="96"/>
      <c r="G10" s="11">
        <f>F10*6*24</f>
        <v>0</v>
      </c>
    </row>
    <row r="11" spans="1:15">
      <c r="A11" s="97"/>
      <c r="B11" s="97" t="s">
        <v>12</v>
      </c>
      <c r="C11" s="97" t="s">
        <v>169</v>
      </c>
      <c r="D11" s="97" t="s">
        <v>171</v>
      </c>
      <c r="E11" s="98">
        <v>33</v>
      </c>
      <c r="F11" s="96"/>
      <c r="G11" s="11">
        <f>F11*6*33</f>
        <v>0</v>
      </c>
    </row>
    <row r="12" spans="1:15">
      <c r="A12" s="99"/>
      <c r="B12" s="99" t="s">
        <v>6</v>
      </c>
      <c r="C12" s="99"/>
      <c r="D12" s="99"/>
      <c r="E12" s="97"/>
      <c r="F12" s="113">
        <f>F5+F6+F7+F8+F9+F10+F11</f>
        <v>0</v>
      </c>
      <c r="G12" s="20">
        <f>G5+G6+G7+G8+G9+G10+G11</f>
        <v>0</v>
      </c>
    </row>
    <row r="13" spans="1:15" ht="30" customHeight="1">
      <c r="B13" s="144" t="s">
        <v>34</v>
      </c>
      <c r="C13" s="144"/>
      <c r="D13" s="144"/>
      <c r="E13" s="144"/>
      <c r="F13" s="145"/>
      <c r="G13" s="145"/>
    </row>
    <row r="14" spans="1:15">
      <c r="O14" s="102"/>
    </row>
    <row r="15" spans="1:15">
      <c r="A15" s="78" t="s">
        <v>32</v>
      </c>
      <c r="B15" s="42" t="s">
        <v>4</v>
      </c>
      <c r="C15" s="7" t="s">
        <v>51</v>
      </c>
      <c r="D15" s="7" t="s">
        <v>191</v>
      </c>
      <c r="E15" s="7" t="s">
        <v>192</v>
      </c>
      <c r="F15" s="125" t="s">
        <v>193</v>
      </c>
      <c r="G15" s="79" t="s">
        <v>194</v>
      </c>
    </row>
    <row r="16" spans="1:15" ht="25.35" customHeight="1">
      <c r="A16" s="5"/>
      <c r="B16" s="5" t="s">
        <v>39</v>
      </c>
      <c r="C16" s="5" t="s">
        <v>53</v>
      </c>
      <c r="D16" s="5" t="s">
        <v>5</v>
      </c>
      <c r="E16" s="35">
        <v>25</v>
      </c>
      <c r="F16" s="109"/>
      <c r="G16" s="18">
        <f>F16*6*25</f>
        <v>0</v>
      </c>
    </row>
    <row r="17" spans="1:8">
      <c r="A17" s="5"/>
      <c r="B17" s="5" t="s">
        <v>29</v>
      </c>
      <c r="C17" s="5" t="s">
        <v>172</v>
      </c>
      <c r="D17" s="5" t="s">
        <v>173</v>
      </c>
      <c r="E17" s="35">
        <v>15</v>
      </c>
      <c r="F17" s="96"/>
      <c r="G17" s="11">
        <f>F17*8*15</f>
        <v>0</v>
      </c>
    </row>
    <row r="18" spans="1:8">
      <c r="A18" s="5"/>
      <c r="B18" s="5" t="s">
        <v>30</v>
      </c>
      <c r="C18" s="5" t="s">
        <v>172</v>
      </c>
      <c r="D18" s="23">
        <v>96</v>
      </c>
      <c r="E18" s="35">
        <v>1</v>
      </c>
      <c r="F18" s="96"/>
      <c r="G18" s="11">
        <f>F18*96*1</f>
        <v>0</v>
      </c>
    </row>
    <row r="19" spans="1:8">
      <c r="A19" s="5"/>
      <c r="B19" s="5" t="s">
        <v>50</v>
      </c>
      <c r="C19" s="5" t="s">
        <v>172</v>
      </c>
      <c r="D19" s="5" t="s">
        <v>54</v>
      </c>
      <c r="E19" s="35">
        <v>480</v>
      </c>
      <c r="F19" s="96"/>
      <c r="G19" s="11">
        <f>F19*1*480</f>
        <v>0</v>
      </c>
    </row>
    <row r="20" spans="1:8">
      <c r="A20" s="7"/>
      <c r="B20" s="7" t="s">
        <v>6</v>
      </c>
      <c r="C20" s="7"/>
      <c r="D20" s="7"/>
      <c r="E20" s="7"/>
      <c r="F20" s="17">
        <f>SUM(F16:F19)</f>
        <v>0</v>
      </c>
      <c r="G20" s="17">
        <f>SUM(G16:G19)</f>
        <v>0</v>
      </c>
    </row>
    <row r="21" spans="1:8" s="9" customFormat="1" ht="30" customHeight="1">
      <c r="B21" s="10"/>
      <c r="C21" s="10"/>
      <c r="D21" s="10"/>
      <c r="E21" s="10"/>
    </row>
    <row r="22" spans="1:8" s="9" customFormat="1" ht="30" customHeight="1">
      <c r="A22" s="147"/>
      <c r="B22" s="148"/>
      <c r="C22" s="148"/>
      <c r="D22" s="148"/>
      <c r="E22" s="148"/>
      <c r="F22" s="148"/>
      <c r="G22" s="148"/>
    </row>
    <row r="23" spans="1:8">
      <c r="A23" s="78" t="s">
        <v>32</v>
      </c>
      <c r="B23" s="7" t="s">
        <v>7</v>
      </c>
      <c r="C23" s="7" t="s">
        <v>51</v>
      </c>
      <c r="D23" s="7" t="s">
        <v>191</v>
      </c>
      <c r="E23" s="7" t="s">
        <v>192</v>
      </c>
      <c r="F23" s="125" t="s">
        <v>193</v>
      </c>
      <c r="G23" s="79" t="s">
        <v>194</v>
      </c>
    </row>
    <row r="24" spans="1:8" ht="14.85" customHeight="1">
      <c r="A24" s="5"/>
      <c r="B24" s="5" t="s">
        <v>40</v>
      </c>
      <c r="C24" s="23" t="s">
        <v>53</v>
      </c>
      <c r="D24" s="23" t="s">
        <v>5</v>
      </c>
      <c r="E24" s="35">
        <v>25</v>
      </c>
      <c r="F24" s="109"/>
      <c r="G24" s="18">
        <f>F24*6*25</f>
        <v>0</v>
      </c>
    </row>
    <row r="25" spans="1:8" ht="14.85" customHeight="1">
      <c r="A25" s="5"/>
      <c r="B25" s="5" t="s">
        <v>55</v>
      </c>
      <c r="C25" s="23" t="s">
        <v>174</v>
      </c>
      <c r="D25" s="23">
        <v>12</v>
      </c>
      <c r="E25" s="35">
        <v>7</v>
      </c>
      <c r="F25" s="96"/>
      <c r="G25" s="11">
        <f>F25*12*7</f>
        <v>0</v>
      </c>
    </row>
    <row r="26" spans="1:8">
      <c r="A26" s="5"/>
      <c r="B26" s="5" t="s">
        <v>56</v>
      </c>
      <c r="C26" s="23" t="s">
        <v>175</v>
      </c>
      <c r="D26" s="23">
        <v>48</v>
      </c>
      <c r="E26" s="35">
        <v>1</v>
      </c>
      <c r="F26" s="96"/>
      <c r="G26" s="11">
        <f>F26*48*1</f>
        <v>0</v>
      </c>
    </row>
    <row r="27" spans="1:8">
      <c r="A27" s="7"/>
      <c r="B27" s="7" t="s">
        <v>8</v>
      </c>
      <c r="C27" s="43"/>
      <c r="D27" s="43"/>
      <c r="E27" s="42"/>
      <c r="F27" s="17">
        <f>SUM(F24:F26)</f>
        <v>0</v>
      </c>
      <c r="G27" s="17">
        <f>SUM(G24:G26)</f>
        <v>0</v>
      </c>
    </row>
    <row r="28" spans="1:8">
      <c r="F28"/>
    </row>
    <row r="29" spans="1:8" ht="32.85" customHeight="1">
      <c r="A29" s="147" t="s">
        <v>138</v>
      </c>
      <c r="B29" s="149"/>
      <c r="C29" s="149"/>
      <c r="D29" s="149"/>
      <c r="E29" s="149"/>
      <c r="F29" s="149"/>
      <c r="G29" s="149"/>
    </row>
    <row r="30" spans="1:8">
      <c r="A30" s="78" t="s">
        <v>32</v>
      </c>
      <c r="B30" s="7" t="s">
        <v>33</v>
      </c>
      <c r="C30" s="7" t="s">
        <v>51</v>
      </c>
      <c r="D30" s="7" t="s">
        <v>191</v>
      </c>
      <c r="E30" s="7" t="s">
        <v>192</v>
      </c>
      <c r="F30" s="125" t="s">
        <v>193</v>
      </c>
      <c r="G30" s="79" t="s">
        <v>194</v>
      </c>
      <c r="H30" s="6"/>
    </row>
    <row r="31" spans="1:8">
      <c r="A31" s="8"/>
      <c r="B31" s="5" t="s">
        <v>14</v>
      </c>
      <c r="C31" s="5" t="s">
        <v>57</v>
      </c>
      <c r="D31" s="23">
        <v>12</v>
      </c>
      <c r="E31" s="35">
        <v>22</v>
      </c>
      <c r="F31" s="96"/>
      <c r="G31" s="11">
        <f>F31*12*22</f>
        <v>0</v>
      </c>
      <c r="H31" s="6"/>
    </row>
    <row r="32" spans="1:8" ht="14.85" customHeight="1">
      <c r="A32" s="5"/>
      <c r="B32" s="5" t="s">
        <v>13</v>
      </c>
      <c r="C32" s="5" t="s">
        <v>58</v>
      </c>
      <c r="D32" s="23">
        <v>96</v>
      </c>
      <c r="E32" s="35">
        <v>1</v>
      </c>
      <c r="F32" s="96"/>
      <c r="G32" s="11">
        <f>F32*96*1</f>
        <v>0</v>
      </c>
    </row>
    <row r="33" spans="1:7" ht="14.85" customHeight="1">
      <c r="A33" s="5"/>
      <c r="B33" s="5" t="s">
        <v>59</v>
      </c>
      <c r="C33" s="5" t="s">
        <v>176</v>
      </c>
      <c r="D33" s="23">
        <v>480</v>
      </c>
      <c r="E33" s="35">
        <v>1</v>
      </c>
      <c r="F33" s="96"/>
      <c r="G33" s="11">
        <f>F33*480*1</f>
        <v>0</v>
      </c>
    </row>
    <row r="34" spans="1:7" ht="14.85" customHeight="1">
      <c r="A34" s="5"/>
      <c r="B34" s="5" t="s">
        <v>60</v>
      </c>
      <c r="C34" s="5" t="s">
        <v>177</v>
      </c>
      <c r="D34" s="23">
        <v>4</v>
      </c>
      <c r="E34" s="35">
        <v>40</v>
      </c>
      <c r="F34" s="96"/>
      <c r="G34" s="11">
        <f>F34*4*40</f>
        <v>0</v>
      </c>
    </row>
    <row r="35" spans="1:7">
      <c r="A35" s="5"/>
      <c r="B35" s="5" t="s">
        <v>23</v>
      </c>
      <c r="C35" s="5" t="s">
        <v>178</v>
      </c>
      <c r="D35" s="23">
        <v>300</v>
      </c>
      <c r="E35" s="35">
        <v>1</v>
      </c>
      <c r="F35" s="96"/>
      <c r="G35" s="11">
        <f>F35*300*1</f>
        <v>0</v>
      </c>
    </row>
    <row r="36" spans="1:7">
      <c r="A36" s="5"/>
      <c r="B36" s="5" t="s">
        <v>17</v>
      </c>
      <c r="C36" s="5" t="s">
        <v>61</v>
      </c>
      <c r="D36" s="23">
        <v>150</v>
      </c>
      <c r="E36" s="35">
        <v>1</v>
      </c>
      <c r="F36" s="96"/>
      <c r="G36" s="11">
        <f>F36*150*1</f>
        <v>0</v>
      </c>
    </row>
    <row r="37" spans="1:7">
      <c r="A37" s="5"/>
      <c r="B37" s="5" t="s">
        <v>15</v>
      </c>
      <c r="C37" s="5" t="s">
        <v>176</v>
      </c>
      <c r="D37" s="23">
        <v>150</v>
      </c>
      <c r="E37" s="35">
        <v>1</v>
      </c>
      <c r="F37" s="96"/>
      <c r="G37" s="11">
        <f>F37*150*1</f>
        <v>0</v>
      </c>
    </row>
    <row r="38" spans="1:7">
      <c r="A38" s="5"/>
      <c r="B38" s="5" t="s">
        <v>16</v>
      </c>
      <c r="C38" s="5" t="s">
        <v>179</v>
      </c>
      <c r="D38" s="23">
        <v>500</v>
      </c>
      <c r="E38" s="35">
        <v>0.5</v>
      </c>
      <c r="F38" s="96"/>
      <c r="G38" s="11">
        <f>F38*500*0.5</f>
        <v>0</v>
      </c>
    </row>
    <row r="39" spans="1:7">
      <c r="A39" s="5"/>
      <c r="B39" s="5" t="s">
        <v>19</v>
      </c>
      <c r="C39" s="5" t="s">
        <v>180</v>
      </c>
      <c r="D39" s="23">
        <v>4</v>
      </c>
      <c r="E39" s="35">
        <v>16</v>
      </c>
      <c r="F39" s="96"/>
      <c r="G39" s="11">
        <f>F39*4*16</f>
        <v>0</v>
      </c>
    </row>
    <row r="40" spans="1:7">
      <c r="A40" s="5"/>
      <c r="B40" s="5" t="s">
        <v>26</v>
      </c>
      <c r="C40" s="5" t="s">
        <v>177</v>
      </c>
      <c r="D40" s="23">
        <v>6</v>
      </c>
      <c r="E40" s="35">
        <v>35</v>
      </c>
      <c r="F40" s="96"/>
      <c r="G40" s="11">
        <f>F40*6*35</f>
        <v>0</v>
      </c>
    </row>
    <row r="41" spans="1:7">
      <c r="A41" s="5"/>
      <c r="B41" s="5" t="s">
        <v>31</v>
      </c>
      <c r="C41" s="5" t="s">
        <v>181</v>
      </c>
      <c r="D41" s="23">
        <v>3</v>
      </c>
      <c r="E41" s="35">
        <v>16</v>
      </c>
      <c r="F41" s="96"/>
      <c r="G41" s="11">
        <f>F41*3*16</f>
        <v>0</v>
      </c>
    </row>
    <row r="42" spans="1:7">
      <c r="A42" s="5"/>
      <c r="B42" s="5" t="s">
        <v>45</v>
      </c>
      <c r="C42" s="5" t="s">
        <v>62</v>
      </c>
      <c r="D42" s="23">
        <v>24</v>
      </c>
      <c r="E42" s="35">
        <v>12</v>
      </c>
      <c r="F42" s="96"/>
      <c r="G42" s="11">
        <f>F42*24*12</f>
        <v>0</v>
      </c>
    </row>
    <row r="43" spans="1:7">
      <c r="A43" s="7"/>
      <c r="B43" s="7" t="s">
        <v>6</v>
      </c>
      <c r="C43" s="7"/>
      <c r="D43" s="42"/>
      <c r="E43" s="42"/>
      <c r="F43" s="17">
        <f>SUM(F31:F42)</f>
        <v>0</v>
      </c>
      <c r="G43" s="17">
        <f>SUM(G31:G42)</f>
        <v>0</v>
      </c>
    </row>
    <row r="45" spans="1:7">
      <c r="A45" s="78" t="s">
        <v>32</v>
      </c>
      <c r="B45" s="7" t="s">
        <v>43</v>
      </c>
      <c r="C45" s="7" t="s">
        <v>51</v>
      </c>
      <c r="D45" s="7" t="s">
        <v>191</v>
      </c>
      <c r="E45" s="7" t="s">
        <v>192</v>
      </c>
      <c r="F45" s="125" t="s">
        <v>193</v>
      </c>
      <c r="G45" s="79" t="s">
        <v>194</v>
      </c>
    </row>
    <row r="46" spans="1:7">
      <c r="A46" s="5"/>
      <c r="B46" s="5" t="s">
        <v>18</v>
      </c>
      <c r="C46" s="5" t="s">
        <v>172</v>
      </c>
      <c r="D46" s="23">
        <v>24</v>
      </c>
      <c r="E46" s="35">
        <v>3</v>
      </c>
      <c r="F46" s="96"/>
      <c r="G46" s="11">
        <f>F46*24*3</f>
        <v>0</v>
      </c>
    </row>
    <row r="47" spans="1:7" ht="14.85" customHeight="1">
      <c r="A47" s="5"/>
      <c r="B47" s="5" t="s">
        <v>69</v>
      </c>
      <c r="C47" s="5" t="s">
        <v>168</v>
      </c>
      <c r="D47" s="23">
        <v>12</v>
      </c>
      <c r="E47" s="35">
        <v>4</v>
      </c>
      <c r="F47" s="96"/>
      <c r="G47" s="11">
        <f>F47*12*4</f>
        <v>0</v>
      </c>
    </row>
    <row r="48" spans="1:7">
      <c r="A48" s="5"/>
      <c r="B48" s="5" t="s">
        <v>28</v>
      </c>
      <c r="C48" s="5" t="s">
        <v>63</v>
      </c>
      <c r="D48" s="23">
        <v>6</v>
      </c>
      <c r="E48" s="35">
        <v>100</v>
      </c>
      <c r="F48" s="96"/>
      <c r="G48" s="11">
        <f>F48*6*100</f>
        <v>0</v>
      </c>
    </row>
    <row r="49" spans="1:8">
      <c r="A49" s="7"/>
      <c r="B49" s="7" t="s">
        <v>6</v>
      </c>
      <c r="C49" s="7"/>
      <c r="D49" s="42"/>
      <c r="E49" s="42"/>
      <c r="F49" s="17">
        <f>SUM(F31:F42)</f>
        <v>0</v>
      </c>
      <c r="G49" s="17">
        <f>SUM(G46:G48)</f>
        <v>0</v>
      </c>
      <c r="H49" s="2"/>
    </row>
    <row r="50" spans="1:8" ht="48" customHeight="1">
      <c r="B50" s="146" t="s">
        <v>182</v>
      </c>
      <c r="C50" s="146"/>
      <c r="D50" s="146"/>
      <c r="E50" s="146"/>
      <c r="F50" s="146"/>
      <c r="G50" s="146"/>
    </row>
    <row r="51" spans="1:8" ht="28.8">
      <c r="A51" s="78" t="s">
        <v>32</v>
      </c>
      <c r="B51" s="39" t="s">
        <v>64</v>
      </c>
      <c r="C51" s="7" t="s">
        <v>68</v>
      </c>
      <c r="D51" s="7" t="s">
        <v>191</v>
      </c>
      <c r="E51" s="7" t="s">
        <v>192</v>
      </c>
      <c r="F51" s="120" t="s">
        <v>195</v>
      </c>
      <c r="G51" s="79" t="s">
        <v>35</v>
      </c>
    </row>
    <row r="52" spans="1:8">
      <c r="A52" s="14"/>
      <c r="B52" s="13" t="s">
        <v>66</v>
      </c>
      <c r="C52" s="5" t="s">
        <v>65</v>
      </c>
      <c r="D52" s="44">
        <v>6</v>
      </c>
      <c r="E52" s="35">
        <v>1</v>
      </c>
      <c r="F52" s="96"/>
      <c r="G52" s="37">
        <f>F52*6*1</f>
        <v>0</v>
      </c>
    </row>
    <row r="53" spans="1:8">
      <c r="A53" s="40"/>
      <c r="B53" s="26" t="s">
        <v>67</v>
      </c>
      <c r="C53" s="5" t="s">
        <v>65</v>
      </c>
      <c r="D53" s="45">
        <v>1</v>
      </c>
      <c r="E53" s="35">
        <v>100</v>
      </c>
      <c r="F53" s="118"/>
      <c r="G53" s="18">
        <f>F53*1*100</f>
        <v>0</v>
      </c>
    </row>
    <row r="54" spans="1:8">
      <c r="A54" s="41"/>
      <c r="B54" s="39" t="s">
        <v>6</v>
      </c>
      <c r="C54" s="5"/>
      <c r="D54" s="36"/>
      <c r="E54" s="35"/>
      <c r="F54" s="42">
        <f>SUM(F52:F53)</f>
        <v>0</v>
      </c>
      <c r="G54" s="38">
        <f>SUM(G52:G53)</f>
        <v>0</v>
      </c>
    </row>
    <row r="55" spans="1:8">
      <c r="A55" t="s">
        <v>137</v>
      </c>
    </row>
    <row r="57" spans="1:8" ht="58.35" customHeight="1">
      <c r="A57" s="142" t="s">
        <v>156</v>
      </c>
      <c r="B57" s="142"/>
      <c r="C57" s="142"/>
      <c r="D57" s="142"/>
      <c r="E57" s="142"/>
      <c r="F57" s="142"/>
      <c r="G57" s="142"/>
    </row>
    <row r="62" spans="1:8" ht="21">
      <c r="A62" s="153" t="s">
        <v>74</v>
      </c>
      <c r="B62" s="153"/>
      <c r="C62" s="153"/>
      <c r="D62" s="153"/>
      <c r="E62" s="153"/>
      <c r="F62" s="153"/>
      <c r="G62" s="153"/>
      <c r="H62" s="153"/>
    </row>
    <row r="63" spans="1:8" ht="21">
      <c r="A63" s="154" t="s">
        <v>145</v>
      </c>
      <c r="B63" s="155"/>
      <c r="C63" s="155"/>
      <c r="D63" s="155"/>
      <c r="E63" s="155"/>
      <c r="F63" s="155"/>
      <c r="G63" s="155"/>
      <c r="H63" s="155"/>
    </row>
    <row r="64" spans="1:8">
      <c r="A64" s="85"/>
      <c r="B64" s="126"/>
      <c r="C64" s="86"/>
      <c r="D64" s="86"/>
      <c r="E64" s="86"/>
      <c r="F64" s="86"/>
      <c r="G64" s="87"/>
      <c r="H64" s="87"/>
    </row>
    <row r="65" spans="1:8" ht="28.8">
      <c r="A65" s="122" t="s">
        <v>32</v>
      </c>
      <c r="B65" s="7" t="s">
        <v>42</v>
      </c>
      <c r="C65" s="42" t="s">
        <v>2</v>
      </c>
      <c r="D65" s="79" t="s">
        <v>198</v>
      </c>
      <c r="E65" s="121" t="s">
        <v>197</v>
      </c>
      <c r="F65" s="120" t="s">
        <v>196</v>
      </c>
      <c r="H65" s="127"/>
    </row>
    <row r="66" spans="1:8">
      <c r="A66" s="88"/>
      <c r="B66" s="5" t="s">
        <v>20</v>
      </c>
      <c r="C66" s="24" t="s">
        <v>41</v>
      </c>
      <c r="D66" s="25">
        <v>1000</v>
      </c>
      <c r="E66" s="30">
        <f>B64*3*7</f>
        <v>0</v>
      </c>
      <c r="F66" s="109"/>
      <c r="H66" s="128"/>
    </row>
    <row r="67" spans="1:8">
      <c r="A67" s="29"/>
      <c r="B67" s="5" t="s">
        <v>21</v>
      </c>
      <c r="C67" s="18" t="s">
        <v>41</v>
      </c>
      <c r="D67" s="18">
        <v>500</v>
      </c>
      <c r="E67" s="30">
        <f>B64*3*7</f>
        <v>0</v>
      </c>
      <c r="F67" s="109"/>
      <c r="H67" s="128"/>
    </row>
    <row r="68" spans="1:8">
      <c r="A68" s="29"/>
      <c r="B68" s="5" t="s">
        <v>27</v>
      </c>
      <c r="C68" s="21" t="s">
        <v>41</v>
      </c>
      <c r="D68" s="22">
        <v>1000</v>
      </c>
      <c r="E68" s="30">
        <f>B64*3*7</f>
        <v>0</v>
      </c>
      <c r="F68" s="109"/>
      <c r="H68" s="128"/>
    </row>
    <row r="69" spans="1:8">
      <c r="A69" s="89"/>
      <c r="B69" s="5" t="s">
        <v>46</v>
      </c>
      <c r="C69" s="28" t="s">
        <v>41</v>
      </c>
      <c r="D69" s="22">
        <v>250</v>
      </c>
      <c r="E69" s="30">
        <f>B64*3*7</f>
        <v>0</v>
      </c>
      <c r="F69" s="109"/>
      <c r="H69" s="128"/>
    </row>
    <row r="70" spans="1:8">
      <c r="A70" s="90"/>
      <c r="B70" s="31" t="s">
        <v>47</v>
      </c>
      <c r="C70" s="32" t="s">
        <v>41</v>
      </c>
      <c r="D70" s="33">
        <v>50</v>
      </c>
      <c r="E70" s="48">
        <f>D70</f>
        <v>50</v>
      </c>
      <c r="F70" s="96"/>
      <c r="H70" s="128"/>
    </row>
    <row r="71" spans="1:8">
      <c r="A71" s="29"/>
      <c r="B71" s="5" t="s">
        <v>48</v>
      </c>
      <c r="C71" s="34" t="s">
        <v>41</v>
      </c>
      <c r="D71" s="11">
        <v>100</v>
      </c>
      <c r="E71" s="34">
        <f>D71</f>
        <v>100</v>
      </c>
      <c r="F71" s="96"/>
      <c r="H71" s="128"/>
    </row>
    <row r="72" spans="1:8">
      <c r="A72" s="29"/>
      <c r="B72" s="5" t="s">
        <v>49</v>
      </c>
      <c r="C72" s="34" t="s">
        <v>41</v>
      </c>
      <c r="D72" s="11">
        <v>72</v>
      </c>
      <c r="E72" s="34">
        <f>D72</f>
        <v>72</v>
      </c>
      <c r="F72" s="96"/>
      <c r="H72" s="128"/>
    </row>
    <row r="73" spans="1:8">
      <c r="A73" s="29"/>
      <c r="B73" s="5" t="s">
        <v>142</v>
      </c>
      <c r="C73" s="11" t="s">
        <v>41</v>
      </c>
      <c r="D73" s="34">
        <v>200</v>
      </c>
      <c r="E73" s="54">
        <v>800</v>
      </c>
      <c r="F73" s="96"/>
      <c r="H73" s="128"/>
    </row>
    <row r="74" spans="1:8">
      <c r="C74"/>
      <c r="D74"/>
      <c r="E74"/>
      <c r="F74"/>
    </row>
    <row r="75" spans="1:8">
      <c r="A75" s="156" t="s">
        <v>117</v>
      </c>
      <c r="B75" s="156"/>
      <c r="C75" s="156"/>
      <c r="D75"/>
      <c r="E75"/>
      <c r="F75"/>
    </row>
    <row r="78" spans="1:8" ht="39.6" customHeight="1">
      <c r="A78" s="157" t="s">
        <v>203</v>
      </c>
      <c r="B78" s="157"/>
      <c r="C78" s="157"/>
      <c r="D78" s="157"/>
      <c r="E78" s="157"/>
      <c r="F78" s="157"/>
      <c r="G78" s="157"/>
      <c r="H78" s="157"/>
    </row>
    <row r="79" spans="1:8" ht="21">
      <c r="A79" s="151"/>
      <c r="B79" s="152"/>
      <c r="C79" s="152"/>
      <c r="D79" s="152"/>
      <c r="E79" s="152"/>
      <c r="F79" s="152"/>
      <c r="G79" s="152"/>
      <c r="H79" s="152"/>
    </row>
    <row r="80" spans="1:8" ht="17.399999999999999">
      <c r="A80" s="131" t="s">
        <v>204</v>
      </c>
    </row>
    <row r="81" spans="1:1">
      <c r="A81" s="141" t="s">
        <v>211</v>
      </c>
    </row>
  </sheetData>
  <sheetProtection password="CDF0" sheet="1" objects="1" scenarios="1"/>
  <mergeCells count="12">
    <mergeCell ref="A79:H79"/>
    <mergeCell ref="A62:H62"/>
    <mergeCell ref="A63:H63"/>
    <mergeCell ref="A75:C75"/>
    <mergeCell ref="A78:H78"/>
    <mergeCell ref="A57:G57"/>
    <mergeCell ref="A1:G1"/>
    <mergeCell ref="B13:G13"/>
    <mergeCell ref="B50:G50"/>
    <mergeCell ref="A22:G22"/>
    <mergeCell ref="A29:G29"/>
    <mergeCell ref="A2:B2"/>
  </mergeCells>
  <phoneticPr fontId="14" type="noConversion"/>
  <pageMargins left="0.2" right="0.2" top="0.25" bottom="0.25" header="0.3" footer="0.3"/>
  <pageSetup fitToHeight="0" orientation="landscape" r:id="rId1"/>
  <rowBreaks count="1" manualBreakCount="1">
    <brk id="28"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topLeftCell="A4" workbookViewId="0">
      <selection activeCell="I6" sqref="I6"/>
    </sheetView>
  </sheetViews>
  <sheetFormatPr defaultColWidth="8.6640625" defaultRowHeight="14.4"/>
  <cols>
    <col min="1" max="1" width="24.44140625" customWidth="1"/>
    <col min="2" max="2" width="19.33203125" customWidth="1"/>
    <col min="3" max="3" width="1.44140625" customWidth="1"/>
    <col min="4" max="4" width="10.6640625" bestFit="1" customWidth="1"/>
    <col min="5" max="5" width="11.44140625" customWidth="1"/>
    <col min="6" max="6" width="10.44140625" customWidth="1"/>
    <col min="7" max="7" width="1.44140625" customWidth="1"/>
    <col min="8" max="10" width="15.44140625" customWidth="1"/>
    <col min="11" max="11" width="16.33203125" style="3" customWidth="1"/>
    <col min="12" max="12" width="12" style="3" customWidth="1"/>
  </cols>
  <sheetData>
    <row r="1" spans="1:12" ht="18">
      <c r="A1" s="160" t="s">
        <v>147</v>
      </c>
      <c r="B1" s="160"/>
      <c r="C1" s="160"/>
      <c r="D1" s="160"/>
      <c r="E1" s="160"/>
      <c r="F1" s="160"/>
      <c r="G1" s="160"/>
      <c r="H1" s="160"/>
      <c r="I1" s="160"/>
      <c r="J1" s="160"/>
      <c r="K1" s="160"/>
      <c r="L1" s="160"/>
    </row>
    <row r="2" spans="1:12" ht="21">
      <c r="A2" s="161" t="s">
        <v>165</v>
      </c>
      <c r="B2" s="162"/>
      <c r="C2" s="162"/>
      <c r="D2" s="162"/>
      <c r="E2" s="162"/>
      <c r="F2" s="162"/>
      <c r="G2" s="162"/>
      <c r="H2" s="162"/>
      <c r="I2" s="162"/>
      <c r="J2" s="162"/>
      <c r="K2" s="162"/>
      <c r="L2" s="162"/>
    </row>
    <row r="3" spans="1:12" ht="21">
      <c r="A3" s="163" t="s">
        <v>148</v>
      </c>
      <c r="B3" s="163"/>
      <c r="C3" s="94"/>
      <c r="D3" s="94"/>
      <c r="E3" s="94"/>
      <c r="F3" s="94"/>
      <c r="G3" s="94"/>
      <c r="H3" s="94"/>
      <c r="I3" s="94"/>
      <c r="J3" s="94"/>
      <c r="K3" s="94"/>
      <c r="L3" s="94"/>
    </row>
    <row r="4" spans="1:12" ht="19.649999999999999" customHeight="1">
      <c r="A4" s="15" t="s">
        <v>162</v>
      </c>
      <c r="B4" s="108">
        <v>100</v>
      </c>
      <c r="C4" s="15"/>
    </row>
    <row r="5" spans="1:12" s="1" customFormat="1" ht="46.8">
      <c r="A5" s="27" t="s">
        <v>38</v>
      </c>
      <c r="B5" s="16" t="s">
        <v>2</v>
      </c>
      <c r="C5" s="16"/>
      <c r="D5" s="16" t="s">
        <v>162</v>
      </c>
      <c r="E5" s="16" t="s">
        <v>153</v>
      </c>
      <c r="F5" s="16" t="s">
        <v>152</v>
      </c>
      <c r="G5" s="72"/>
      <c r="H5" s="116" t="s">
        <v>189</v>
      </c>
      <c r="I5" s="116" t="s">
        <v>186</v>
      </c>
      <c r="J5" s="69" t="s">
        <v>187</v>
      </c>
      <c r="K5" s="116" t="s">
        <v>188</v>
      </c>
      <c r="L5" s="132" t="s">
        <v>190</v>
      </c>
    </row>
    <row r="6" spans="1:12" ht="43.2">
      <c r="A6" s="4" t="s">
        <v>36</v>
      </c>
      <c r="B6" s="5" t="s">
        <v>209</v>
      </c>
      <c r="C6" s="4"/>
      <c r="D6" s="18">
        <f>B4</f>
        <v>100</v>
      </c>
      <c r="E6" s="18">
        <v>3</v>
      </c>
      <c r="F6" s="18">
        <v>7</v>
      </c>
      <c r="G6" s="11"/>
      <c r="H6" s="73">
        <f>SUM(D6*E6*F6)</f>
        <v>2100</v>
      </c>
      <c r="I6" s="47">
        <f>Inventory!G12</f>
        <v>0</v>
      </c>
      <c r="J6" s="117">
        <f>Inventory!F12</f>
        <v>0</v>
      </c>
      <c r="K6" s="47">
        <f>(H6/72)</f>
        <v>29.166666666666668</v>
      </c>
      <c r="L6" s="47">
        <f>IF(H6&gt;I6,H6-I6,0)/72</f>
        <v>29.166666666666668</v>
      </c>
    </row>
    <row r="7" spans="1:12">
      <c r="A7" s="4" t="s">
        <v>0</v>
      </c>
      <c r="B7" s="4" t="s">
        <v>210</v>
      </c>
      <c r="C7" s="4"/>
      <c r="D7" s="11">
        <f>B4</f>
        <v>100</v>
      </c>
      <c r="E7" s="11">
        <v>2</v>
      </c>
      <c r="F7" s="11">
        <v>7</v>
      </c>
      <c r="G7" s="11"/>
      <c r="H7" s="46">
        <f>SUM(D7*E7*F7)</f>
        <v>1400</v>
      </c>
      <c r="I7" s="47">
        <f>Inventory!G20</f>
        <v>0</v>
      </c>
      <c r="J7" s="114">
        <f>Inventory!F20</f>
        <v>0</v>
      </c>
      <c r="K7" s="47">
        <f>(H7/150)</f>
        <v>9.3333333333333339</v>
      </c>
      <c r="L7" s="47">
        <f>IF(H7&gt;I7,H7-I7,0)/150</f>
        <v>9.3333333333333339</v>
      </c>
    </row>
    <row r="8" spans="1:12">
      <c r="A8" s="4" t="s">
        <v>1</v>
      </c>
      <c r="B8" s="4" t="s">
        <v>210</v>
      </c>
      <c r="C8" s="4"/>
      <c r="D8" s="11">
        <f>B4</f>
        <v>100</v>
      </c>
      <c r="E8" s="11">
        <v>2</v>
      </c>
      <c r="F8" s="11">
        <v>7</v>
      </c>
      <c r="G8" s="11"/>
      <c r="H8" s="46">
        <f>SUM(D8*E8*F8)</f>
        <v>1400</v>
      </c>
      <c r="I8" s="47">
        <f>Inventory!G27</f>
        <v>0</v>
      </c>
      <c r="J8" s="114">
        <f>Inventory!F27</f>
        <v>0</v>
      </c>
      <c r="K8" s="47">
        <f>(H8/150)</f>
        <v>9.3333333333333339</v>
      </c>
      <c r="L8" s="47">
        <f>IF(H8&gt;I8,H8-I8,0)/150</f>
        <v>9.3333333333333339</v>
      </c>
    </row>
    <row r="9" spans="1:12">
      <c r="A9" s="4" t="s">
        <v>37</v>
      </c>
      <c r="B9" s="4" t="s">
        <v>166</v>
      </c>
      <c r="C9" s="4"/>
      <c r="D9" s="11">
        <f>B4</f>
        <v>100</v>
      </c>
      <c r="E9" s="11">
        <v>4</v>
      </c>
      <c r="F9" s="11">
        <v>7</v>
      </c>
      <c r="G9" s="11"/>
      <c r="H9" s="46">
        <f>SUM(D9*E9*F9)</f>
        <v>2800</v>
      </c>
      <c r="I9" s="47">
        <f>Inventory!G43</f>
        <v>0</v>
      </c>
      <c r="J9" s="114">
        <f>Inventory!F43</f>
        <v>0</v>
      </c>
      <c r="K9" s="47">
        <f>(H9/264)</f>
        <v>10.606060606060606</v>
      </c>
      <c r="L9" s="47">
        <f>IF(H9&gt;I9,H9-I9,0)/264</f>
        <v>10.606060606060606</v>
      </c>
    </row>
    <row r="10" spans="1:12">
      <c r="A10" s="4" t="s">
        <v>167</v>
      </c>
      <c r="B10" s="4" t="s">
        <v>168</v>
      </c>
      <c r="C10" s="4"/>
      <c r="D10" s="11">
        <f>B4</f>
        <v>100</v>
      </c>
      <c r="E10" s="11">
        <v>2</v>
      </c>
      <c r="F10" s="11">
        <v>7</v>
      </c>
      <c r="G10" s="11"/>
      <c r="H10" s="46">
        <f>SUM(D10*E10*F10)</f>
        <v>1400</v>
      </c>
      <c r="I10" s="47">
        <f>Inventory!G49</f>
        <v>0</v>
      </c>
      <c r="J10" s="114">
        <f>Inventory!F49</f>
        <v>0</v>
      </c>
      <c r="K10" s="47">
        <f>(H10/600)</f>
        <v>2.3333333333333335</v>
      </c>
      <c r="L10" s="47">
        <f>IF(H10&gt;I10,H10-I10,0)/600</f>
        <v>2.3333333333333335</v>
      </c>
    </row>
    <row r="11" spans="1:12">
      <c r="A11" s="4"/>
      <c r="B11" s="4"/>
      <c r="C11" s="4"/>
      <c r="D11" s="11"/>
      <c r="E11" s="11"/>
      <c r="F11" s="11"/>
      <c r="G11" s="11"/>
      <c r="H11" s="46"/>
      <c r="I11" s="47"/>
      <c r="J11" s="46"/>
      <c r="K11" s="47"/>
      <c r="L11" s="47"/>
    </row>
    <row r="12" spans="1:12">
      <c r="A12" s="5" t="s">
        <v>70</v>
      </c>
      <c r="B12" s="12" t="s">
        <v>3</v>
      </c>
      <c r="C12" s="55"/>
      <c r="D12" s="11">
        <f>B4</f>
        <v>100</v>
      </c>
      <c r="E12" s="11">
        <v>1</v>
      </c>
      <c r="F12" s="11">
        <v>7</v>
      </c>
      <c r="G12" s="54"/>
      <c r="H12" s="64">
        <f>SUM(D12*E12*F12)</f>
        <v>700</v>
      </c>
      <c r="I12" s="65"/>
      <c r="J12" s="111"/>
      <c r="K12" s="65"/>
      <c r="L12" s="65"/>
    </row>
    <row r="13" spans="1:12" ht="28.8">
      <c r="A13" s="70" t="s">
        <v>71</v>
      </c>
      <c r="B13" s="49" t="s">
        <v>72</v>
      </c>
      <c r="C13" s="50"/>
      <c r="D13" s="52"/>
      <c r="E13" s="53"/>
      <c r="F13" s="53"/>
      <c r="G13" s="50"/>
      <c r="H13" s="28">
        <f>(Inventory!F19*12)+(Inventory!F46*2.25)+(Inventory!F48*37.5)</f>
        <v>0</v>
      </c>
      <c r="I13" s="66"/>
      <c r="J13" s="112"/>
      <c r="K13" s="66"/>
      <c r="L13" s="66"/>
    </row>
    <row r="14" spans="1:12">
      <c r="A14" s="71" t="s">
        <v>73</v>
      </c>
      <c r="B14" s="41"/>
      <c r="C14" s="51"/>
      <c r="D14" s="29"/>
      <c r="E14" s="51"/>
      <c r="F14" s="51"/>
      <c r="G14" s="51"/>
      <c r="H14" s="67">
        <f>SUM(H12:H13)</f>
        <v>700</v>
      </c>
      <c r="I14" s="68">
        <f>Inventory!G54</f>
        <v>0</v>
      </c>
      <c r="J14" s="115">
        <f>Inventory!F54</f>
        <v>0</v>
      </c>
      <c r="K14" s="68">
        <f>(H14/6)</f>
        <v>116.66666666666667</v>
      </c>
      <c r="L14" s="68">
        <f>IF(H14&gt;I14,H14-I14,0)/6</f>
        <v>116.66666666666667</v>
      </c>
    </row>
    <row r="15" spans="1:12">
      <c r="A15" s="2"/>
      <c r="B15" s="2"/>
      <c r="C15" s="2"/>
    </row>
    <row r="16" spans="1:12">
      <c r="A16" s="95" t="s">
        <v>154</v>
      </c>
    </row>
    <row r="18" spans="1:11">
      <c r="A18" t="s">
        <v>104</v>
      </c>
    </row>
    <row r="19" spans="1:11">
      <c r="A19" t="s">
        <v>155</v>
      </c>
    </row>
    <row r="20" spans="1:11">
      <c r="A20" t="s">
        <v>75</v>
      </c>
    </row>
    <row r="21" spans="1:11">
      <c r="A21" s="56" t="s">
        <v>78</v>
      </c>
    </row>
    <row r="22" spans="1:11">
      <c r="A22" s="56" t="s">
        <v>79</v>
      </c>
    </row>
    <row r="23" spans="1:11">
      <c r="A23" s="56" t="s">
        <v>97</v>
      </c>
    </row>
    <row r="25" spans="1:11">
      <c r="A25" t="s">
        <v>90</v>
      </c>
    </row>
    <row r="26" spans="1:11">
      <c r="A26" t="s">
        <v>159</v>
      </c>
    </row>
    <row r="27" spans="1:11">
      <c r="A27" t="s">
        <v>160</v>
      </c>
    </row>
    <row r="28" spans="1:11">
      <c r="A28" t="s">
        <v>161</v>
      </c>
    </row>
    <row r="29" spans="1:11">
      <c r="A29" t="s">
        <v>96</v>
      </c>
    </row>
    <row r="30" spans="1:11">
      <c r="A30" t="s">
        <v>91</v>
      </c>
    </row>
    <row r="32" spans="1:11" ht="36" customHeight="1">
      <c r="A32" s="158" t="s">
        <v>116</v>
      </c>
      <c r="B32" s="159"/>
      <c r="C32" s="159"/>
      <c r="D32" s="159"/>
      <c r="E32" s="159"/>
      <c r="F32" s="159"/>
      <c r="G32" s="159"/>
      <c r="H32" s="159"/>
      <c r="I32" s="159"/>
      <c r="J32" s="159"/>
      <c r="K32" s="159"/>
    </row>
    <row r="34" spans="1:1" ht="17.399999999999999">
      <c r="A34" s="131" t="s">
        <v>204</v>
      </c>
    </row>
    <row r="35" spans="1:1">
      <c r="A35" s="141" t="s">
        <v>211</v>
      </c>
    </row>
  </sheetData>
  <sheetProtection password="CDF0" sheet="1" objects="1" scenarios="1"/>
  <mergeCells count="4">
    <mergeCell ref="A32:K32"/>
    <mergeCell ref="A1:L1"/>
    <mergeCell ref="A2:L2"/>
    <mergeCell ref="A3:B3"/>
  </mergeCells>
  <phoneticPr fontId="14" type="noConversion"/>
  <pageMargins left="0.7" right="0.7" top="0.25" bottom="0.2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5" workbookViewId="0">
      <selection activeCell="F7" sqref="F7"/>
    </sheetView>
  </sheetViews>
  <sheetFormatPr defaultColWidth="8.6640625" defaultRowHeight="14.4"/>
  <cols>
    <col min="1" max="1" width="15.6640625" customWidth="1"/>
    <col min="2" max="2" width="22.33203125" style="3" customWidth="1"/>
    <col min="3" max="7" width="12.6640625" customWidth="1"/>
  </cols>
  <sheetData>
    <row r="1" spans="1:8" ht="21">
      <c r="A1" s="153" t="s">
        <v>74</v>
      </c>
      <c r="B1" s="153"/>
      <c r="C1" s="153"/>
      <c r="D1" s="153"/>
      <c r="E1" s="153"/>
      <c r="F1" s="153"/>
      <c r="G1" s="153"/>
      <c r="H1" s="153"/>
    </row>
    <row r="2" spans="1:8" ht="18" customHeight="1">
      <c r="A2" s="154" t="s">
        <v>145</v>
      </c>
      <c r="B2" s="155"/>
      <c r="C2" s="155"/>
      <c r="D2" s="155"/>
      <c r="E2" s="155"/>
      <c r="F2" s="155"/>
      <c r="G2" s="155"/>
      <c r="H2" s="155"/>
    </row>
    <row r="3" spans="1:8" ht="18" customHeight="1">
      <c r="A3" s="164" t="s">
        <v>150</v>
      </c>
      <c r="B3" s="164"/>
      <c r="C3" s="93"/>
      <c r="D3" s="93"/>
      <c r="E3" s="93"/>
      <c r="F3" s="93"/>
      <c r="G3" s="93"/>
      <c r="H3" s="93"/>
    </row>
    <row r="4" spans="1:8" ht="18" customHeight="1">
      <c r="A4" s="92"/>
      <c r="B4" s="93"/>
      <c r="C4" s="93"/>
      <c r="D4" s="93"/>
      <c r="E4" s="93"/>
      <c r="F4" s="93"/>
      <c r="G4" s="93"/>
      <c r="H4" s="93"/>
    </row>
    <row r="5" spans="1:8">
      <c r="A5" s="85" t="s">
        <v>162</v>
      </c>
      <c r="B5" s="107">
        <v>100</v>
      </c>
      <c r="C5" s="86"/>
      <c r="D5" s="86"/>
      <c r="E5" s="86"/>
      <c r="F5" s="86"/>
      <c r="G5" s="87"/>
      <c r="H5" s="87"/>
    </row>
    <row r="6" spans="1:8" ht="57.6">
      <c r="A6" s="122" t="s">
        <v>32</v>
      </c>
      <c r="B6" s="7" t="s">
        <v>42</v>
      </c>
      <c r="C6" s="42" t="s">
        <v>2</v>
      </c>
      <c r="D6" s="79" t="s">
        <v>198</v>
      </c>
      <c r="E6" s="121" t="s">
        <v>197</v>
      </c>
      <c r="F6" s="134" t="s">
        <v>199</v>
      </c>
      <c r="G6" s="119" t="s">
        <v>206</v>
      </c>
      <c r="H6" s="133" t="s">
        <v>190</v>
      </c>
    </row>
    <row r="7" spans="1:8" ht="15" customHeight="1">
      <c r="A7" s="88"/>
      <c r="B7" s="5" t="s">
        <v>20</v>
      </c>
      <c r="C7" s="24" t="s">
        <v>41</v>
      </c>
      <c r="D7" s="25">
        <v>1000</v>
      </c>
      <c r="E7" s="30">
        <f>B5*3*7</f>
        <v>2100</v>
      </c>
      <c r="F7" s="24">
        <f>E7/D7</f>
        <v>2.1</v>
      </c>
      <c r="G7" s="135">
        <f>Inventory!F66</f>
        <v>0</v>
      </c>
      <c r="H7" s="106">
        <f>IF(F7&gt;G7,F7-G7,0)</f>
        <v>2.1</v>
      </c>
    </row>
    <row r="8" spans="1:8" ht="15" customHeight="1">
      <c r="A8" s="29"/>
      <c r="B8" s="5" t="s">
        <v>21</v>
      </c>
      <c r="C8" s="18" t="s">
        <v>41</v>
      </c>
      <c r="D8" s="18">
        <v>500</v>
      </c>
      <c r="E8" s="30">
        <f>B5*3*7</f>
        <v>2100</v>
      </c>
      <c r="F8" s="24">
        <f>E8/D8</f>
        <v>4.2</v>
      </c>
      <c r="G8" s="136">
        <f>Inventory!F67</f>
        <v>0</v>
      </c>
      <c r="H8" s="106">
        <f>IF(F8&gt;G8,F8-G8,0)</f>
        <v>4.2</v>
      </c>
    </row>
    <row r="9" spans="1:8" ht="15" customHeight="1">
      <c r="A9" s="29"/>
      <c r="B9" s="5" t="s">
        <v>27</v>
      </c>
      <c r="C9" s="21" t="s">
        <v>41</v>
      </c>
      <c r="D9" s="22">
        <v>1000</v>
      </c>
      <c r="E9" s="30">
        <f>B5*3*7</f>
        <v>2100</v>
      </c>
      <c r="F9" s="28">
        <f>E9/D9</f>
        <v>2.1</v>
      </c>
      <c r="G9" s="137">
        <f>Inventory!F68</f>
        <v>0</v>
      </c>
      <c r="H9" s="106">
        <f t="shared" ref="H9:H14" si="0">IF(F9&gt;G9,F9-G9,0)</f>
        <v>2.1</v>
      </c>
    </row>
    <row r="10" spans="1:8" ht="15" customHeight="1">
      <c r="A10" s="89"/>
      <c r="B10" s="5" t="s">
        <v>46</v>
      </c>
      <c r="C10" s="28" t="s">
        <v>41</v>
      </c>
      <c r="D10" s="22">
        <v>250</v>
      </c>
      <c r="E10" s="30">
        <f>B5*3*7</f>
        <v>2100</v>
      </c>
      <c r="F10" s="21">
        <f>E10/D10</f>
        <v>8.4</v>
      </c>
      <c r="G10" s="137" t="b">
        <f>Inventory!F71=G12=Inventory!F69</f>
        <v>0</v>
      </c>
      <c r="H10" s="106">
        <f t="shared" si="0"/>
        <v>0</v>
      </c>
    </row>
    <row r="11" spans="1:8" ht="15" customHeight="1">
      <c r="A11" s="90"/>
      <c r="B11" s="31" t="s">
        <v>47</v>
      </c>
      <c r="C11" s="32" t="s">
        <v>41</v>
      </c>
      <c r="D11" s="33">
        <v>50</v>
      </c>
      <c r="E11" s="48">
        <f>D11</f>
        <v>50</v>
      </c>
      <c r="F11" s="21">
        <f t="shared" ref="F11:F14" si="1">E11/D11</f>
        <v>1</v>
      </c>
      <c r="G11" s="138">
        <f>Inventory!F70</f>
        <v>0</v>
      </c>
      <c r="H11" s="106">
        <f t="shared" si="0"/>
        <v>1</v>
      </c>
    </row>
    <row r="12" spans="1:8" ht="15" customHeight="1">
      <c r="A12" s="29"/>
      <c r="B12" s="5" t="s">
        <v>48</v>
      </c>
      <c r="C12" s="34" t="s">
        <v>41</v>
      </c>
      <c r="D12" s="11">
        <v>100</v>
      </c>
      <c r="E12" s="34">
        <f>D12</f>
        <v>100</v>
      </c>
      <c r="F12" s="21">
        <f t="shared" si="1"/>
        <v>1</v>
      </c>
      <c r="G12" s="139">
        <f>Inventory!F71</f>
        <v>0</v>
      </c>
      <c r="H12" s="106">
        <f t="shared" si="0"/>
        <v>1</v>
      </c>
    </row>
    <row r="13" spans="1:8" ht="15" customHeight="1">
      <c r="A13" s="29"/>
      <c r="B13" s="5" t="s">
        <v>49</v>
      </c>
      <c r="C13" s="34" t="s">
        <v>41</v>
      </c>
      <c r="D13" s="11">
        <v>72</v>
      </c>
      <c r="E13" s="34">
        <f>D13</f>
        <v>72</v>
      </c>
      <c r="F13" s="21">
        <f t="shared" si="1"/>
        <v>1</v>
      </c>
      <c r="G13" s="139">
        <f>Inventory!F72</f>
        <v>0</v>
      </c>
      <c r="H13" s="106">
        <f t="shared" si="0"/>
        <v>1</v>
      </c>
    </row>
    <row r="14" spans="1:8" ht="15" customHeight="1">
      <c r="A14" s="29"/>
      <c r="B14" s="5" t="s">
        <v>142</v>
      </c>
      <c r="C14" s="11" t="s">
        <v>41</v>
      </c>
      <c r="D14" s="34">
        <v>200</v>
      </c>
      <c r="E14" s="11">
        <v>800</v>
      </c>
      <c r="F14" s="21">
        <f t="shared" si="1"/>
        <v>4</v>
      </c>
      <c r="G14" s="140">
        <f>Inventory!F73</f>
        <v>0</v>
      </c>
      <c r="H14" s="106">
        <f t="shared" si="0"/>
        <v>4</v>
      </c>
    </row>
    <row r="16" spans="1:8">
      <c r="A16" s="156" t="s">
        <v>117</v>
      </c>
      <c r="B16" s="156"/>
      <c r="C16" s="156"/>
    </row>
    <row r="18" spans="1:7" ht="17.399999999999999">
      <c r="A18" s="131" t="s">
        <v>204</v>
      </c>
    </row>
    <row r="19" spans="1:7">
      <c r="A19" s="141" t="s">
        <v>211</v>
      </c>
      <c r="G19" s="102"/>
    </row>
  </sheetData>
  <mergeCells count="4">
    <mergeCell ref="A16:C16"/>
    <mergeCell ref="A1:H1"/>
    <mergeCell ref="A2:H2"/>
    <mergeCell ref="A3:B3"/>
  </mergeCells>
  <pageMargins left="0.45" right="0.2"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B9" sqref="B9"/>
    </sheetView>
  </sheetViews>
  <sheetFormatPr defaultColWidth="8.88671875" defaultRowHeight="14.4"/>
  <cols>
    <col min="1" max="1" width="37.6640625" customWidth="1"/>
    <col min="2" max="2" width="21.33203125" customWidth="1"/>
    <col min="3" max="4" width="22.88671875" customWidth="1"/>
    <col min="5" max="5" width="20.6640625" customWidth="1"/>
  </cols>
  <sheetData>
    <row r="1" spans="1:5" ht="18">
      <c r="A1" s="166" t="s">
        <v>105</v>
      </c>
      <c r="B1" s="166"/>
      <c r="C1" s="166"/>
      <c r="D1" s="166"/>
      <c r="E1" s="166"/>
    </row>
    <row r="2" spans="1:5">
      <c r="A2" s="165" t="s">
        <v>139</v>
      </c>
      <c r="B2" s="165"/>
      <c r="C2" s="165"/>
      <c r="D2" s="165"/>
      <c r="E2" s="165"/>
    </row>
    <row r="3" spans="1:5">
      <c r="A3" s="165" t="s">
        <v>201</v>
      </c>
      <c r="B3" s="165"/>
      <c r="C3" s="165"/>
      <c r="D3" s="165"/>
      <c r="E3" s="165"/>
    </row>
    <row r="4" spans="1:5">
      <c r="A4" s="165" t="s">
        <v>118</v>
      </c>
      <c r="B4" s="165"/>
      <c r="C4" s="165"/>
      <c r="D4" s="165"/>
      <c r="E4" s="165"/>
    </row>
    <row r="5" spans="1:5">
      <c r="A5" s="165" t="s">
        <v>157</v>
      </c>
      <c r="B5" s="165"/>
      <c r="C5" s="165"/>
      <c r="D5" s="165"/>
      <c r="E5" s="165"/>
    </row>
    <row r="6" spans="1:5">
      <c r="A6" s="165" t="s">
        <v>119</v>
      </c>
      <c r="B6" s="165"/>
      <c r="C6" s="165"/>
      <c r="D6" s="165"/>
      <c r="E6" s="165"/>
    </row>
    <row r="7" spans="1:5" ht="14.1" customHeight="1">
      <c r="A7" s="165" t="s">
        <v>151</v>
      </c>
      <c r="B7" s="165"/>
      <c r="C7" s="165"/>
      <c r="D7" s="165"/>
      <c r="E7" s="165"/>
    </row>
    <row r="8" spans="1:5" ht="14.1" customHeight="1"/>
    <row r="9" spans="1:5">
      <c r="A9" s="82" t="s">
        <v>163</v>
      </c>
      <c r="B9" s="110">
        <v>100</v>
      </c>
      <c r="C9" s="83"/>
      <c r="D9" s="83"/>
      <c r="E9" s="83"/>
    </row>
    <row r="10" spans="1:5">
      <c r="A10" s="78" t="s">
        <v>120</v>
      </c>
      <c r="B10" s="78" t="s">
        <v>121</v>
      </c>
      <c r="C10" s="78" t="s">
        <v>122</v>
      </c>
      <c r="D10" s="17" t="s">
        <v>123</v>
      </c>
      <c r="E10" s="79" t="s">
        <v>200</v>
      </c>
    </row>
    <row r="11" spans="1:5" ht="28.8">
      <c r="A11" s="5" t="s">
        <v>124</v>
      </c>
      <c r="B11" s="4" t="s">
        <v>106</v>
      </c>
      <c r="C11" s="11">
        <v>2</v>
      </c>
      <c r="D11" s="11" t="s">
        <v>107</v>
      </c>
      <c r="E11" s="18">
        <f>B9*1.17</f>
        <v>117</v>
      </c>
    </row>
    <row r="12" spans="1:5">
      <c r="A12" s="4" t="s">
        <v>125</v>
      </c>
      <c r="B12" s="4" t="s">
        <v>126</v>
      </c>
      <c r="C12" s="18">
        <v>1</v>
      </c>
      <c r="D12" s="18" t="s">
        <v>108</v>
      </c>
      <c r="E12" s="18">
        <f>B9*0.21</f>
        <v>21</v>
      </c>
    </row>
    <row r="13" spans="1:5">
      <c r="A13" s="4"/>
      <c r="B13" s="4"/>
      <c r="C13" s="4"/>
      <c r="D13" s="18"/>
      <c r="E13" s="18"/>
    </row>
    <row r="14" spans="1:5">
      <c r="A14" s="4" t="s">
        <v>4</v>
      </c>
      <c r="B14" s="4" t="s">
        <v>110</v>
      </c>
      <c r="C14" s="18">
        <v>2</v>
      </c>
      <c r="D14" s="18" t="s">
        <v>111</v>
      </c>
      <c r="E14" s="18">
        <f>B9*0.56</f>
        <v>56.000000000000007</v>
      </c>
    </row>
    <row r="15" spans="1:5">
      <c r="A15" s="4" t="s">
        <v>7</v>
      </c>
      <c r="B15" s="4" t="s">
        <v>112</v>
      </c>
      <c r="C15" s="18">
        <v>2</v>
      </c>
      <c r="D15" s="18" t="s">
        <v>111</v>
      </c>
      <c r="E15" s="18">
        <f>B9*0.56</f>
        <v>56.000000000000007</v>
      </c>
    </row>
    <row r="16" spans="1:5">
      <c r="A16" s="4"/>
      <c r="B16" s="4"/>
      <c r="C16" s="4"/>
      <c r="D16" s="18"/>
      <c r="E16" s="18"/>
    </row>
    <row r="17" spans="1:5">
      <c r="A17" s="4" t="s">
        <v>33</v>
      </c>
      <c r="B17" s="4" t="s">
        <v>127</v>
      </c>
      <c r="C17" s="18">
        <v>1</v>
      </c>
      <c r="D17" s="18" t="s">
        <v>115</v>
      </c>
      <c r="E17" s="18">
        <f>B9*7</f>
        <v>700</v>
      </c>
    </row>
    <row r="18" spans="1:5">
      <c r="A18" s="4"/>
      <c r="B18" s="4" t="s">
        <v>113</v>
      </c>
      <c r="C18" s="18">
        <v>3</v>
      </c>
      <c r="D18" s="18" t="s">
        <v>128</v>
      </c>
      <c r="E18" s="18">
        <f>B9*0.95</f>
        <v>95</v>
      </c>
    </row>
    <row r="19" spans="1:5" ht="11.1" customHeight="1">
      <c r="A19" s="4"/>
      <c r="B19" s="4"/>
      <c r="C19" s="4"/>
      <c r="D19" s="18"/>
      <c r="E19" s="18"/>
    </row>
    <row r="20" spans="1:5">
      <c r="A20" s="4" t="s">
        <v>109</v>
      </c>
      <c r="B20" s="4" t="s">
        <v>183</v>
      </c>
      <c r="C20" s="18">
        <v>2</v>
      </c>
      <c r="D20" s="18" t="s">
        <v>114</v>
      </c>
      <c r="E20" s="18">
        <f>B9*0.14</f>
        <v>14.000000000000002</v>
      </c>
    </row>
    <row r="21" spans="1:5" ht="28.8">
      <c r="A21" s="80" t="s">
        <v>129</v>
      </c>
      <c r="B21" s="5" t="s">
        <v>184</v>
      </c>
      <c r="C21" s="18" t="s">
        <v>202</v>
      </c>
      <c r="D21" s="18" t="s">
        <v>202</v>
      </c>
      <c r="E21" s="18">
        <f>E20*6.25</f>
        <v>87.500000000000014</v>
      </c>
    </row>
    <row r="22" spans="1:5">
      <c r="A22" s="4"/>
      <c r="B22" s="4"/>
      <c r="C22" s="4"/>
      <c r="D22" s="18"/>
      <c r="E22" s="4"/>
    </row>
    <row r="23" spans="1:5">
      <c r="A23" s="4" t="s">
        <v>130</v>
      </c>
      <c r="B23" s="4" t="s">
        <v>131</v>
      </c>
      <c r="C23" s="18">
        <v>1</v>
      </c>
      <c r="D23" s="18" t="s">
        <v>115</v>
      </c>
      <c r="E23" s="18">
        <f>B9*7</f>
        <v>700</v>
      </c>
    </row>
    <row r="24" spans="1:5">
      <c r="A24" s="4" t="s">
        <v>132</v>
      </c>
      <c r="B24" s="4"/>
      <c r="C24" s="4"/>
      <c r="D24" s="4"/>
      <c r="E24" s="18">
        <f>E21+E23</f>
        <v>787.5</v>
      </c>
    </row>
    <row r="26" spans="1:5" ht="17.399999999999999">
      <c r="A26" s="131" t="s">
        <v>204</v>
      </c>
      <c r="B26" s="129"/>
    </row>
    <row r="27" spans="1:5">
      <c r="A27" s="141" t="s">
        <v>211</v>
      </c>
    </row>
  </sheetData>
  <mergeCells count="7">
    <mergeCell ref="A6:E6"/>
    <mergeCell ref="A7:E7"/>
    <mergeCell ref="A1:E1"/>
    <mergeCell ref="A2:E2"/>
    <mergeCell ref="A3:E3"/>
    <mergeCell ref="A4:E4"/>
    <mergeCell ref="A5:E5"/>
  </mergeCells>
  <phoneticPr fontId="14" type="noConversion"/>
  <pageMargins left="0.7" right="0.7" top="0.75" bottom="0.75" header="0.3" footer="0.3"/>
  <pageSetup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election activeCell="A35" sqref="A35"/>
    </sheetView>
  </sheetViews>
  <sheetFormatPr defaultColWidth="8.6640625" defaultRowHeight="14.4"/>
  <cols>
    <col min="1" max="1" width="87.109375" customWidth="1"/>
  </cols>
  <sheetData>
    <row r="1" spans="1:1" ht="18">
      <c r="A1" s="75" t="s">
        <v>143</v>
      </c>
    </row>
    <row r="2" spans="1:1">
      <c r="A2" s="76" t="s">
        <v>144</v>
      </c>
    </row>
    <row r="3" spans="1:1">
      <c r="A3" s="77"/>
    </row>
    <row r="4" spans="1:1">
      <c r="A4" s="2" t="s">
        <v>133</v>
      </c>
    </row>
    <row r="6" spans="1:1">
      <c r="A6" s="2" t="s">
        <v>76</v>
      </c>
    </row>
    <row r="7" spans="1:1">
      <c r="A7" t="s">
        <v>77</v>
      </c>
    </row>
    <row r="8" spans="1:1">
      <c r="A8" t="s">
        <v>82</v>
      </c>
    </row>
    <row r="10" spans="1:1">
      <c r="A10" s="2" t="s">
        <v>80</v>
      </c>
    </row>
    <row r="11" spans="1:1">
      <c r="A11" t="s">
        <v>81</v>
      </c>
    </row>
    <row r="12" spans="1:1">
      <c r="A12" t="s">
        <v>83</v>
      </c>
    </row>
    <row r="14" spans="1:1">
      <c r="A14" s="2" t="s">
        <v>84</v>
      </c>
    </row>
    <row r="15" spans="1:1">
      <c r="A15" t="s">
        <v>134</v>
      </c>
    </row>
    <row r="16" spans="1:1">
      <c r="A16" t="s">
        <v>85</v>
      </c>
    </row>
    <row r="17" spans="1:1">
      <c r="A17" t="s">
        <v>86</v>
      </c>
    </row>
    <row r="20" spans="1:1">
      <c r="A20" s="76" t="s">
        <v>143</v>
      </c>
    </row>
    <row r="21" spans="1:1">
      <c r="A21" s="2"/>
    </row>
    <row r="22" spans="1:1">
      <c r="A22" s="9" t="s">
        <v>93</v>
      </c>
    </row>
    <row r="23" spans="1:1" ht="28.8">
      <c r="A23" s="3" t="s">
        <v>92</v>
      </c>
    </row>
    <row r="24" spans="1:1">
      <c r="A24" s="3"/>
    </row>
    <row r="25" spans="1:1" ht="28.8">
      <c r="A25" s="3" t="s">
        <v>99</v>
      </c>
    </row>
    <row r="26" spans="1:1" ht="28.8">
      <c r="A26" s="62" t="s">
        <v>98</v>
      </c>
    </row>
    <row r="27" spans="1:1">
      <c r="A27" s="3"/>
    </row>
    <row r="28" spans="1:1">
      <c r="A28" t="s">
        <v>94</v>
      </c>
    </row>
    <row r="29" spans="1:1">
      <c r="A29" s="61" t="s">
        <v>95</v>
      </c>
    </row>
    <row r="30" spans="1:1">
      <c r="A30" s="61"/>
    </row>
    <row r="31" spans="1:1">
      <c r="A31" s="63" t="s">
        <v>103</v>
      </c>
    </row>
    <row r="32" spans="1:1">
      <c r="A32" s="61" t="s">
        <v>102</v>
      </c>
    </row>
    <row r="34" spans="1:1">
      <c r="A34" t="s">
        <v>100</v>
      </c>
    </row>
    <row r="35" spans="1:1">
      <c r="A35" s="61" t="s">
        <v>101</v>
      </c>
    </row>
    <row r="37" spans="1:1">
      <c r="A37" s="56" t="s">
        <v>135</v>
      </c>
    </row>
    <row r="38" spans="1:1">
      <c r="A38" s="56" t="s">
        <v>136</v>
      </c>
    </row>
    <row r="40" spans="1:1" ht="18">
      <c r="A40" s="130" t="s">
        <v>204</v>
      </c>
    </row>
    <row r="41" spans="1:1">
      <c r="A41" s="141" t="s">
        <v>211</v>
      </c>
    </row>
  </sheetData>
  <hyperlinks>
    <hyperlink ref="A29" r:id="rId1"/>
    <hyperlink ref="A26" r:id="rId2"/>
    <hyperlink ref="A35" r:id="rId3"/>
    <hyperlink ref="A32" r:id="rId4"/>
  </hyperlinks>
  <pageMargins left="0.7" right="0.7" top="0.75" bottom="0.75" header="0.3" footer="0.3"/>
  <pageSetup scale="83"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 by Step Instructions</vt:lpstr>
      <vt:lpstr>Inventory</vt:lpstr>
      <vt:lpstr>Emergency Supplies</vt:lpstr>
      <vt:lpstr>Service Supplies</vt:lpstr>
      <vt:lpstr>Quick Manual Count</vt:lpstr>
      <vt:lpstr>References</vt:lpstr>
    </vt:vector>
  </TitlesOfParts>
  <Company>BayCare Health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Sara DeNicola</dc:creator>
  <cp:lastModifiedBy>Dell_E6320</cp:lastModifiedBy>
  <cp:lastPrinted>2016-05-11T13:12:53Z</cp:lastPrinted>
  <dcterms:created xsi:type="dcterms:W3CDTF">2011-12-06T16:56:54Z</dcterms:created>
  <dcterms:modified xsi:type="dcterms:W3CDTF">2018-03-28T02:36:54Z</dcterms:modified>
</cp:coreProperties>
</file>